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с 1 по 4" sheetId="1" state="hidden" r:id="rId4"/>
    <sheet name="Лист3" sheetId="2" state="hidden" r:id="rId5"/>
    <sheet name="Лист4" sheetId="3" state="hidden" r:id="rId6"/>
    <sheet name="73 руб" sheetId="4" state="hidden" r:id="rId7"/>
    <sheet name="77,36" sheetId="5" r:id="rId8"/>
    <sheet name="Лист2" sheetId="6" state="hidden" r:id="rId9"/>
    <sheet name="Лист5" sheetId="7" state="hidden" r:id="rId10"/>
    <sheet name="78" sheetId="8" r:id="rId11"/>
  </sheets>
  <definedNames>
    <definedName name="_xlnm.Print_Titles" localSheetId="0">'с 1 по 4'!$3:$7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<sst xmlns="http://schemas.openxmlformats.org/spreadsheetml/2006/main" uniqueCount="158">
  <si>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Меню приготавливаемых блюд  для детей с 1 по 4 класс</t>
  </si>
  <si>
    <t>№ рецептур</t>
  </si>
  <si>
    <t xml:space="preserve">   Наименование бдюда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</si>
  <si>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</si>
  <si>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</si>
  <si>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</si>
  <si>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</si>
  <si>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</si>
  <si>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</si>
  <si>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</si>
  <si>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неделя: 1               день1: понедельник</t>
  </si>
  <si>
    <t>Завтрак</t>
  </si>
  <si>
    <t xml:space="preserve">Каша молочная гречневая с маслом сливочным </t>
  </si>
  <si>
    <t>150</t>
  </si>
  <si>
    <t>Хлеб пшеничный</t>
  </si>
  <si>
    <t>Йогурт фруктовый</t>
  </si>
  <si>
    <t>Чай с сахаром с лимоном</t>
  </si>
  <si>
    <t>200/5</t>
  </si>
  <si>
    <t>пр</t>
  </si>
  <si>
    <t>Мучное или кондитерское изделия</t>
  </si>
  <si>
    <t>Итого</t>
  </si>
  <si>
    <t xml:space="preserve">Обед </t>
  </si>
  <si>
    <t>Суп  лапша куриная</t>
  </si>
  <si>
    <t>Филе куриное тушеное в соусе томатном45/45</t>
  </si>
  <si>
    <t>183</t>
  </si>
  <si>
    <t xml:space="preserve">Рис отварной </t>
  </si>
  <si>
    <t>Компот из сухофруктов</t>
  </si>
  <si>
    <t>1.6</t>
  </si>
  <si>
    <t>Хлеб ржаной</t>
  </si>
  <si>
    <t>1.5</t>
  </si>
  <si>
    <t>Итого за день</t>
  </si>
  <si>
    <t>неделя: 1               день2: вторник</t>
  </si>
  <si>
    <t>Омлет натуральный</t>
  </si>
  <si>
    <t>Чай с сахаром</t>
  </si>
  <si>
    <t>Фрукт</t>
  </si>
  <si>
    <t>Кондитерское изделия</t>
  </si>
  <si>
    <t xml:space="preserve">Щи из св.капусты с картофелем </t>
  </si>
  <si>
    <t>Плов с мясом</t>
  </si>
  <si>
    <t>ПР</t>
  </si>
  <si>
    <t>Овощи порционные</t>
  </si>
  <si>
    <t xml:space="preserve">Компот плодово-ягодный </t>
  </si>
  <si>
    <t>неделя: 1               день3: среда</t>
  </si>
  <si>
    <t xml:space="preserve">Завтрак </t>
  </si>
  <si>
    <t>Каша молочная пшенная</t>
  </si>
  <si>
    <t>Бутерброт с сыром 30/20</t>
  </si>
  <si>
    <t>Суп картофельный с бобовыми  на м/к бульоне</t>
  </si>
  <si>
    <t xml:space="preserve"> Рыба под маринадом </t>
  </si>
  <si>
    <t xml:space="preserve">Картофельное пюре </t>
  </si>
  <si>
    <t>неделя: 1               день4: четверг</t>
  </si>
  <si>
    <t xml:space="preserve">Филе куриное в сливочном соусе </t>
  </si>
  <si>
    <t>Борщ с капустой , картофелем на м/к бульоне</t>
  </si>
  <si>
    <t xml:space="preserve">Биточек мясной  "нежный" в томатном соусе  </t>
  </si>
  <si>
    <t>Каша гречневая рассыпчатая</t>
  </si>
  <si>
    <t>Компот из св/м  ягод</t>
  </si>
  <si>
    <t>неделя: 1               день5: пятница</t>
  </si>
  <si>
    <t xml:space="preserve">Тефтели  в томатном  соусе </t>
  </si>
  <si>
    <t>Рожки отварные</t>
  </si>
  <si>
    <t>Рассольник "Ленинградский"</t>
  </si>
  <si>
    <t>Жаркое по- домашнему с мясом птицы</t>
  </si>
  <si>
    <t>неделя: 2               день6: понедельник</t>
  </si>
  <si>
    <t>Каша молочная рисовая  с м/с</t>
  </si>
  <si>
    <t xml:space="preserve">Чай с сахаром </t>
  </si>
  <si>
    <t>Щи из св.капусты с картофелем</t>
  </si>
  <si>
    <t xml:space="preserve">Фрикадельки  в томатном соусе </t>
  </si>
  <si>
    <t>Напиток лимонный</t>
  </si>
  <si>
    <t>неделя: 2               день7: вторник</t>
  </si>
  <si>
    <t xml:space="preserve">Сырники с молочным соусом  (100/30) </t>
  </si>
  <si>
    <t xml:space="preserve">Кондитерское изделия </t>
  </si>
  <si>
    <t>7.10</t>
  </si>
  <si>
    <t>Гуляш из мяса 45/45</t>
  </si>
  <si>
    <t>Макароны отварные</t>
  </si>
  <si>
    <t>неделя: 2               день8: среда</t>
  </si>
  <si>
    <t>Ёжик аппетитный  в соусе</t>
  </si>
  <si>
    <t xml:space="preserve">Суп с макаронными изделиями </t>
  </si>
  <si>
    <t>Икра кабачковая</t>
  </si>
  <si>
    <t>неделя: 2               день9: четверг</t>
  </si>
  <si>
    <t>Оладьи со  сгущенным молоком  110/40</t>
  </si>
  <si>
    <t xml:space="preserve">Фрукт </t>
  </si>
  <si>
    <t xml:space="preserve">Котлета мясная  в томатном соусе </t>
  </si>
  <si>
    <t>неделя: 2               день 10: пятница</t>
  </si>
  <si>
    <t xml:space="preserve">Биточек куриный в соусе  </t>
  </si>
  <si>
    <t xml:space="preserve">Филе куриное в панировке </t>
  </si>
  <si>
    <t>Итого за  10 дней:</t>
  </si>
  <si>
    <t xml:space="preserve">         Итого в среднем за день :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</si>
  <si>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</si>
  <si>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</si>
  <si>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</si>
  <si>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</si>
  <si>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</si>
  <si>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</si>
  <si>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</si>
  <si>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</si>
  <si>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</si>
  <si>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яйцо</t>
  </si>
  <si>
    <t>омлет</t>
  </si>
  <si>
    <t>макароны</t>
  </si>
  <si>
    <t>запеканка</t>
  </si>
  <si>
    <t>сырники</t>
  </si>
  <si>
    <t>рис</t>
  </si>
  <si>
    <t>гречка</t>
  </si>
  <si>
    <t>блины</t>
  </si>
  <si>
    <t>пюре картоф</t>
  </si>
  <si>
    <t>оладьи</t>
  </si>
  <si>
    <t>Шипилина</t>
  </si>
  <si>
    <t>Сирофимовна</t>
  </si>
  <si>
    <t>Гоголь</t>
  </si>
  <si>
    <t>Упех</t>
  </si>
  <si>
    <t>обед</t>
  </si>
  <si>
    <t>картошка</t>
  </si>
  <si>
    <t>рыба котлета</t>
  </si>
  <si>
    <t>рыба</t>
  </si>
  <si>
    <t>печень</t>
  </si>
  <si>
    <t>капуста</t>
  </si>
  <si>
    <t>кол-во раз / меню</t>
  </si>
  <si>
    <t>шт/гр</t>
  </si>
  <si>
    <t>чел/дн</t>
  </si>
  <si>
    <t>10 дн /кг.</t>
  </si>
  <si>
    <t>месяц/кг</t>
  </si>
  <si>
    <t>Ежик</t>
  </si>
  <si>
    <t>биточек КУРИНЫЙ</t>
  </si>
  <si>
    <t>тефтеля</t>
  </si>
  <si>
    <t>Бисквит</t>
  </si>
  <si>
    <t>Сырники</t>
  </si>
  <si>
    <t>Блины</t>
  </si>
  <si>
    <t>Оладьи</t>
  </si>
  <si>
    <t>Фрикаделька</t>
  </si>
  <si>
    <t>Биточек НЕЖНЫЙ</t>
  </si>
  <si>
    <t>Котлета мясная</t>
  </si>
  <si>
    <t>Обед</t>
  </si>
  <si>
    <t>Кол-во дн. в меню</t>
  </si>
  <si>
    <t>Потребность на 1 порцию</t>
  </si>
  <si>
    <t>Кол-во ч/дн</t>
  </si>
  <si>
    <t>Потребность кг.</t>
  </si>
  <si>
    <t>Итого потребность на 10 дней</t>
  </si>
  <si>
    <t>Итого потребность на месяц</t>
  </si>
  <si>
    <t xml:space="preserve">Меню приготавливаемых блюд  для льготной категории детей </t>
  </si>
  <si>
    <t>Блинчики со сгущенным молоком  130/40</t>
  </si>
  <si>
    <t>Пирожное школьное или кондитерское ( 1 шт.)</t>
  </si>
  <si>
    <t>Каша молочная Пшенная  или  Гречневая</t>
  </si>
  <si>
    <t>Бутерброт с сыром 20/20</t>
  </si>
  <si>
    <t>Котлета рыбная с соусом</t>
  </si>
  <si>
    <t>Картофельное пюре или Макаронные изделия</t>
  </si>
  <si>
    <t xml:space="preserve">Филе куриное в молочном соусе </t>
  </si>
  <si>
    <t>Пирожное школьное или кондитерское изделия  ( 1 шт.)</t>
  </si>
  <si>
    <t>Каша молочная рисовая или дружба с м/с</t>
  </si>
  <si>
    <t>Пирожное школьное или кондитерское кондитерское изделия ( 1 шт.)</t>
  </si>
  <si>
    <t>Сырники с молочным соусом  (100/30) или Запеканка творожная с рисом с молочным соусом (100/30)</t>
  </si>
  <si>
    <t>Суп с макаронными изделиями или  Суп рыбный с крупой</t>
  </si>
  <si>
    <t>Филе куриное тушеное в соусе томатном40/50</t>
  </si>
  <si>
    <t>200/10</t>
  </si>
  <si>
    <t>Гуляш из мяса 35/55</t>
  </si>
  <si>
    <t>Каша гречневая рассыпчатая 11,49</t>
  </si>
  <si>
    <t>+</t>
  </si>
  <si>
    <t>Макароны отварные 9,19</t>
  </si>
  <si>
    <t>Рис отварной 15,3</t>
  </si>
  <si>
    <t>Хлеб пшеничный 4,16</t>
  </si>
  <si>
    <t>Меню приготавливаемых блюд  для детей (малообеспеченные, дети-сироты, ТЖС, ОВЗ )</t>
  </si>
  <si>
    <t>Бутерброт с сыром 36/20</t>
  </si>
</sst>
</file>

<file path=xl/styles.xml><?xml version="1.0" encoding="utf-8"?>
<styleSheet xmlns="http://schemas.openxmlformats.org/spreadsheetml/2006/main" xml:space="preserve">
  <numFmts count="2">
    <numFmt numFmtId="164" formatCode="0.0"/>
    <numFmt numFmtId="165" formatCode="0.000000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4"/>
      <color rgb="FF000000"/>
      <name val="Arial Cyr"/>
    </font>
    <font>
      <b val="1"/>
      <i val="0"/>
      <strike val="0"/>
      <u val="none"/>
      <sz val="10"/>
      <color rgb="FF000000"/>
      <name val="Arial Cyr"/>
    </font>
    <font>
      <b val="1"/>
      <i val="0"/>
      <strike val="0"/>
      <u val="none"/>
      <sz val="12"/>
      <color rgb="FF000000"/>
      <name val="Arial Cyr"/>
    </font>
    <font>
      <b val="0"/>
      <i val="0"/>
      <strike val="0"/>
      <u val="none"/>
      <sz val="18"/>
      <color rgb="FF000000"/>
      <name val="Arial Cyr"/>
    </font>
    <font>
      <b val="0"/>
      <i val="0"/>
      <strike val="0"/>
      <u val="none"/>
      <sz val="18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2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2" numFmtId="4" fillId="0" borderId="1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2" numFmtId="2" fillId="0" borderId="1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4" fillId="0" borderId="0" applyFont="1" applyNumberFormat="1" applyFill="0" applyBorder="0" applyAlignment="1" applyProtection="true">
      <alignment horizontal="general" vertical="top" textRotation="0" wrapText="tru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1" numFmtId="4" fillId="0" borderId="1" applyFont="1" applyNumberFormat="1" applyFill="0" applyBorder="1" applyAlignment="1" applyProtection="true">
      <alignment horizontal="general" vertical="center" textRotation="0" wrapText="false" shrinkToFit="false"/>
      <protection hidden="false"/>
    </xf>
    <xf xfId="0" fontId="1" numFmtId="2" fillId="0" borderId="1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1" numFmtId="2" fillId="0" borderId="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" numFmtId="2" fillId="0" borderId="1" applyFont="1" applyNumberFormat="1" applyFill="0" applyBorder="1" applyAlignment="1" applyProtection="true">
      <alignment horizontal="general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1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2" numFmtId="0" fillId="0" borderId="3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1" applyFont="1" applyNumberFormat="1" applyFill="0" applyBorder="1" applyAlignment="1" applyProtection="true">
      <alignment horizontal="general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general" vertical="top" textRotation="0" wrapText="true" shrinkToFit="false"/>
      <protection hidden="false"/>
    </xf>
    <xf xfId="0" fontId="1" numFmtId="1" fillId="0" borderId="1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1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5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2" numFmtId="0" fillId="0" borderId="5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2" fillId="0" borderId="1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2" numFmtId="2" fillId="0" borderId="0" applyFont="1" applyNumberFormat="1" applyFill="0" applyBorder="0" applyAlignment="1" applyProtection="true">
      <alignment horizontal="general" vertical="center" textRotation="0" wrapText="true" shrinkToFit="false"/>
      <protection hidden="false"/>
    </xf>
    <xf xfId="0" fontId="2" numFmtId="2" fillId="0" borderId="3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6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2" numFmtId="2" fillId="0" borderId="5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5" numFmtId="2" fillId="0" borderId="0" applyFont="1" applyNumberFormat="1" applyFill="0" applyBorder="0" applyAlignment="1" applyProtection="true">
      <alignment horizontal="general" vertical="center" textRotation="0" wrapText="true" shrinkToFit="false"/>
      <protection hidden="false"/>
    </xf>
    <xf xfId="0" fontId="1" numFmtId="2" fillId="0" borderId="1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9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1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5" numFmtId="1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1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3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3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6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1" applyProtection="true">
      <alignment horizontal="center" vertical="top" textRotation="0" wrapText="true" shrinkToFit="false"/>
      <protection hidden="false"/>
    </xf>
    <xf xfId="0" fontId="1" numFmtId="1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2" numFmtId="4" fillId="0" borderId="3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2" fillId="0" borderId="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2" numFmtId="164" fillId="0" borderId="1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1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2" numFmtId="2" fillId="0" borderId="2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2" numFmtId="2" fillId="0" borderId="2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1" numFmtId="2" fillId="0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2" fillId="0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2" numFmtId="2" fillId="0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1" fillId="0" borderId="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0" numFmtId="1" fillId="0" borderId="1" applyFont="0" applyNumberFormat="1" applyFill="0" applyBorder="1" applyAlignment="0" applyProtection="true">
      <alignment horizontal="general" vertical="bottom" textRotation="0" wrapText="false" shrinkToFit="false"/>
      <protection hidden="false"/>
    </xf>
    <xf xfId="0" fontId="9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2" numFmtId="4" fillId="0" borderId="1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0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9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1" fillId="0" borderId="4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1" fillId="0" borderId="4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0" borderId="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9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1" fillId="0" borderId="9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2" numFmtId="2" fillId="0" borderId="9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1" applyFont="1" applyNumberFormat="1" applyFill="0" applyBorder="1" applyAlignment="1" applyProtection="true">
      <alignment horizontal="right" vertical="bottom" textRotation="0" wrapText="true" shrinkToFit="false"/>
      <protection hidden="false"/>
    </xf>
    <xf xfId="0" fontId="1" numFmtId="4" fillId="0" borderId="1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1" numFmtId="4" fillId="0" borderId="1" applyFont="1" applyNumberFormat="1" applyFill="0" applyBorder="1" applyAlignment="1" applyProtection="true">
      <alignment horizontal="general" vertical="bottom" textRotation="0" wrapText="true" shrinkToFit="false"/>
      <protection hidden="false"/>
    </xf>
    <xf xfId="0" fontId="2" numFmtId="2" fillId="0" borderId="1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3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3" numFmtId="2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5" numFmtId="2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2" numFmtId="2" fillId="0" borderId="0" applyFont="1" applyNumberFormat="1" applyFill="0" applyBorder="0" applyAlignment="1" applyProtection="true">
      <alignment horizontal="general" vertical="top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6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49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3" numFmtId="165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2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5" numFmtId="4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7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10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2" numFmtId="0" fillId="0" borderId="6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2" numFmtId="0" fillId="0" borderId="4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9" fillId="0" borderId="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9" fillId="0" borderId="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6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1" fillId="0" borderId="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1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1" numFmtId="1" fillId="0" borderId="10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3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1" numFmtId="1" fillId="0" borderId="1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0" borderId="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1" fillId="0" borderId="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1" numFmtId="1" fillId="0" borderId="4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0" borderId="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0" borderId="6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0" borderId="5" applyFont="1" applyNumberFormat="1" applyFill="0" applyBorder="1" applyAlignment="1" applyProtection="true">
      <alignment horizontal="general" vertical="top" textRotation="0" wrapText="true" shrinkToFit="false"/>
      <protection hidden="false"/>
    </xf>
    <xf xfId="0" fontId="1" numFmtId="1" fillId="0" borderId="9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0" borderId="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0" borderId="5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2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" fillId="0" borderId="0" applyFont="1" applyNumberFormat="1" applyFill="0" applyBorder="0" applyAlignment="1" applyProtection="true">
      <alignment horizontal="general" vertical="bottom" textRotation="0" wrapText="true" shrinkToFit="false"/>
      <protection hidden="false"/>
    </xf>
    <xf xfId="0" fontId="1" numFmtId="2" fillId="0" borderId="0" applyFont="1" applyNumberFormat="1" applyFill="0" applyBorder="0" applyAlignment="1" applyProtection="true">
      <alignment horizontal="general" vertical="center" textRotation="0" wrapText="true" shrinkToFit="false"/>
      <protection hidden="false"/>
    </xf>
    <xf xfId="0" fontId="1" numFmtId="2" fillId="0" borderId="2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10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3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11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2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0" applyFont="1" applyNumberFormat="1" applyFill="0" applyBorder="0" applyAlignment="1" applyProtection="true">
      <alignment horizontal="general" vertical="center" textRotation="0" wrapText="true" shrinkToFit="false"/>
      <protection hidden="false"/>
    </xf>
    <xf xfId="0" fontId="1" numFmtId="2" fillId="0" borderId="5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9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2" numFmtId="2" fillId="0" borderId="6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4" fillId="0" borderId="0" applyFont="1" applyNumberFormat="1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2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1" numFmtId="2" fillId="0" borderId="12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2" fillId="0" borderId="0" applyFont="1" applyNumberFormat="1" applyFill="0" applyBorder="0" applyAlignment="1" applyProtection="true">
      <alignment horizontal="general" vertical="center" textRotation="0" wrapText="false" shrinkToFit="false"/>
      <protection hidden="false"/>
    </xf>
    <xf xfId="0" fontId="1" numFmtId="2" fillId="0" borderId="0" applyFont="1" applyNumberFormat="1" applyFill="0" applyBorder="0" applyAlignment="1" applyProtection="true">
      <alignment horizontal="general" vertical="bottom" textRotation="0" wrapText="true" shrinkToFit="false"/>
      <protection hidden="false"/>
    </xf>
    <xf xfId="0" fontId="1" numFmtId="2" fillId="0" borderId="2" applyFont="1" applyNumberFormat="1" applyFill="0" applyBorder="1" applyAlignment="1" applyProtection="true">
      <alignment horizontal="general" vertical="center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general" vertical="center" textRotation="0" wrapText="false" shrinkToFit="false"/>
      <protection hidden="false"/>
    </xf>
    <xf xfId="0" fontId="1" numFmtId="2" fillId="0" borderId="14" applyFont="1" applyNumberFormat="1" applyFill="0" applyBorder="1" applyAlignment="1" applyProtection="true">
      <alignment horizontal="general" vertical="center" textRotation="0" wrapText="true" shrinkToFit="false"/>
      <protection hidden="false"/>
    </xf>
    <xf xfId="0" fontId="1" numFmtId="4" fillId="0" borderId="11" applyFont="1" applyNumberFormat="1" applyFill="0" applyBorder="1" applyAlignment="1" applyProtection="true">
      <alignment horizontal="general" vertical="center" textRotation="0" wrapText="false" shrinkToFit="false"/>
      <protection hidden="false"/>
    </xf>
    <xf xfId="0" fontId="1" numFmtId="2" fillId="0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general" vertical="center" textRotation="0" wrapText="false" shrinkToFit="false"/>
      <protection hidden="false"/>
    </xf>
    <xf xfId="0" fontId="1" numFmtId="4" fillId="0" borderId="0" applyFont="1" applyNumberFormat="1" applyFill="0" applyBorder="0" applyAlignment="1" applyProtection="true">
      <alignment horizontal="general" vertical="center" textRotation="0" wrapText="false" shrinkToFit="false"/>
      <protection hidden="false"/>
    </xf>
    <xf xfId="0" fontId="1" numFmtId="2" fillId="2" borderId="1" applyFont="1" applyNumberFormat="1" applyFill="1" applyBorder="1" applyAlignment="1" applyProtection="true">
      <alignment horizontal="general" vertical="center" textRotation="0" wrapText="true" shrinkToFit="false"/>
      <protection hidden="false"/>
    </xf>
    <xf xfId="0" fontId="1" numFmtId="2" fillId="2" borderId="6" applyFont="1" applyNumberFormat="1" applyFill="1" applyBorder="1" applyAlignment="1" applyProtection="true">
      <alignment horizontal="general" vertical="center" textRotation="0" wrapText="true" shrinkToFit="false"/>
      <protection hidden="false"/>
    </xf>
    <xf xfId="0" fontId="1" numFmtId="2" fillId="2" borderId="1" applyFont="1" applyNumberFormat="1" applyFill="1" applyBorder="1" applyAlignment="1" applyProtection="true">
      <alignment horizontal="general" vertical="center" textRotation="0" wrapText="true" shrinkToFit="false"/>
      <protection hidden="false"/>
    </xf>
    <xf xfId="0" fontId="1" numFmtId="2" fillId="0" borderId="0" applyFont="1" applyNumberFormat="1" applyFill="0" applyBorder="0" applyAlignment="1" applyProtection="true">
      <alignment horizontal="general" vertical="top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false"/>
    </xf>
    <xf xfId="0" fontId="5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6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1" fillId="0" borderId="11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1" fillId="0" borderId="10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1" fillId="0" borderId="9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2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6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5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7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1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1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top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73"/>
  <sheetViews>
    <sheetView tabSelected="1" workbookViewId="0" showGridLines="true" showRowColHeaders="1">
      <pane xSplit="2" ySplit="8" topLeftCell="C9" activePane="bottomRight" state="frozen"/>
      <selection pane="topRight"/>
      <selection pane="bottomLeft"/>
      <selection pane="bottomRight" activeCell="A1" sqref="A1:XFD1048576"/>
    </sheetView>
  </sheetViews>
  <sheetFormatPr customHeight="true" defaultRowHeight="15" defaultColWidth="9.140625" outlineLevelRow="0" outlineLevelCol="0"/>
  <cols>
    <col min="1" max="1" width="10" customWidth="true" style="43"/>
    <col min="2" max="2" width="57" customWidth="true" style="11"/>
    <col min="3" max="3" width="9.5703125" customWidth="true" style="55"/>
    <col min="4" max="4" width="9.5703125" customWidth="true" style="40"/>
    <col min="5" max="5" width="10.28515625" customWidth="true" style="11"/>
    <col min="6" max="6" width="10.7109375" customWidth="true" style="11"/>
    <col min="7" max="7" width="10.7109375" customWidth="true" style="11"/>
    <col min="8" max="8" width="11.85546875" customWidth="true" style="11"/>
    <col min="9" max="9" width="9.140625" style="11"/>
    <col min="10" max="10" width="9.5703125" customWidth="true" style="11"/>
  </cols>
  <sheetData>
    <row r="1" spans="1:10" customHeight="1" ht="15">
      <c r="B1" s="220" t="s">
        <v>0</v>
      </c>
      <c r="C1" s="220"/>
      <c r="D1" s="220"/>
      <c r="E1" s="220"/>
      <c r="F1" s="220"/>
      <c r="G1" s="220"/>
      <c r="H1" s="42"/>
    </row>
    <row r="2" spans="1:10" customHeight="1" ht="15">
      <c r="B2" s="221"/>
      <c r="C2" s="221"/>
      <c r="D2" s="221"/>
      <c r="E2" s="221"/>
      <c r="F2" s="221"/>
      <c r="G2" s="221"/>
    </row>
    <row r="3" spans="1:10" customHeight="1" ht="15.75">
      <c r="A3" s="222" t="s">
        <v>1</v>
      </c>
      <c r="B3" s="225" t="s">
        <v>2</v>
      </c>
      <c r="C3" s="228" t="s">
        <v>3</v>
      </c>
      <c r="D3" s="231" t="s">
        <v>4</v>
      </c>
      <c r="E3" s="238" t="s">
        <v>5</v>
      </c>
      <c r="F3" s="238"/>
      <c r="G3" s="239"/>
      <c r="H3" s="232" t="s">
        <v>6</v>
      </c>
    </row>
    <row r="4" spans="1:10" customHeight="1" ht="15.75">
      <c r="A4" s="223"/>
      <c r="B4" s="226"/>
      <c r="C4" s="229"/>
      <c r="D4" s="231"/>
      <c r="E4" s="240"/>
      <c r="F4" s="240"/>
      <c r="G4" s="241"/>
      <c r="H4" s="233"/>
    </row>
    <row r="5" spans="1:10" customHeight="1" ht="15">
      <c r="A5" s="223"/>
      <c r="B5" s="226"/>
      <c r="C5" s="229"/>
      <c r="D5" s="231"/>
      <c r="E5" s="242" t="s">
        <v>7</v>
      </c>
      <c r="F5" s="225" t="s">
        <v>8</v>
      </c>
      <c r="G5" s="225" t="s">
        <v>9</v>
      </c>
      <c r="H5" s="233"/>
    </row>
    <row r="6" spans="1:10" customHeight="1" ht="15">
      <c r="A6" s="223"/>
      <c r="B6" s="226"/>
      <c r="C6" s="229"/>
      <c r="D6" s="231"/>
      <c r="E6" s="243"/>
      <c r="F6" s="226"/>
      <c r="G6" s="226"/>
      <c r="H6" s="233"/>
    </row>
    <row r="7" spans="1:10" customHeight="1" ht="33">
      <c r="A7" s="224"/>
      <c r="B7" s="227"/>
      <c r="C7" s="230"/>
      <c r="D7" s="231"/>
      <c r="E7" s="244"/>
      <c r="F7" s="227"/>
      <c r="G7" s="227"/>
      <c r="H7" s="234"/>
    </row>
    <row r="8" spans="1:10" customHeight="1" ht="18.75">
      <c r="A8" s="235" t="s">
        <v>10</v>
      </c>
      <c r="B8" s="236"/>
      <c r="C8" s="34"/>
      <c r="D8" s="33"/>
      <c r="E8" s="33"/>
      <c r="F8" s="33"/>
      <c r="G8" s="33"/>
      <c r="H8" s="33"/>
    </row>
    <row r="9" spans="1:10" customHeight="1" ht="18">
      <c r="A9" s="235" t="s">
        <v>11</v>
      </c>
      <c r="B9" s="236"/>
      <c r="C9" s="34"/>
      <c r="D9" s="39"/>
      <c r="E9" s="12"/>
      <c r="F9" s="12"/>
      <c r="G9" s="12"/>
      <c r="H9" s="12"/>
    </row>
    <row r="10" spans="1:10" customHeight="1" ht="18">
      <c r="A10" s="45"/>
      <c r="B10" s="4" t="s">
        <v>12</v>
      </c>
      <c r="C10" s="118" t="s">
        <v>13</v>
      </c>
      <c r="D10" s="41">
        <v>21.14</v>
      </c>
      <c r="E10" s="17"/>
      <c r="F10" s="17"/>
      <c r="G10" s="17"/>
      <c r="H10" s="17"/>
    </row>
    <row r="11" spans="1:10" customHeight="1" ht="18">
      <c r="A11" s="45"/>
      <c r="B11" s="4" t="s">
        <v>14</v>
      </c>
      <c r="C11" s="51">
        <v>30</v>
      </c>
      <c r="D11" s="21">
        <v>3.12</v>
      </c>
      <c r="E11" s="4">
        <f>7.9/100*30</f>
        <v>2.37</v>
      </c>
      <c r="F11" s="4">
        <f>1/100*30</f>
        <v>0.3</v>
      </c>
      <c r="G11" s="4">
        <f>48.3/100*30</f>
        <v>14.49</v>
      </c>
      <c r="H11" s="4">
        <v>70.14</v>
      </c>
    </row>
    <row r="12" spans="1:10" customHeight="1" ht="18">
      <c r="A12" s="45"/>
      <c r="B12" s="4" t="s">
        <v>15</v>
      </c>
      <c r="C12" s="51">
        <v>95</v>
      </c>
      <c r="D12" s="41">
        <v>40.3</v>
      </c>
      <c r="E12" s="17">
        <v>1.61</v>
      </c>
      <c r="F12" s="17">
        <v>0.115</v>
      </c>
      <c r="G12" s="17">
        <v>16.2</v>
      </c>
      <c r="H12" s="17">
        <v>73.6</v>
      </c>
    </row>
    <row r="13" spans="1:10" customHeight="1" ht="18">
      <c r="A13" s="45">
        <v>300</v>
      </c>
      <c r="B13" s="25" t="s">
        <v>16</v>
      </c>
      <c r="C13" s="118" t="s">
        <v>17</v>
      </c>
      <c r="D13" s="21">
        <v>5.99</v>
      </c>
      <c r="E13" s="4">
        <v>0.1</v>
      </c>
      <c r="F13" s="4">
        <v>0.0</v>
      </c>
      <c r="G13" s="4">
        <v>20.2</v>
      </c>
      <c r="H13" s="4">
        <v>81.2</v>
      </c>
    </row>
    <row r="14" spans="1:10" customHeight="1" ht="18">
      <c r="A14" s="45" t="s">
        <v>18</v>
      </c>
      <c r="B14" s="14" t="s">
        <v>19</v>
      </c>
      <c r="C14" s="30">
        <v>30</v>
      </c>
      <c r="D14" s="41">
        <v>6.81</v>
      </c>
      <c r="E14" s="17">
        <v>1.8225</v>
      </c>
      <c r="F14" s="17">
        <v>0.405</v>
      </c>
      <c r="G14" s="17">
        <v>4.6425</v>
      </c>
      <c r="H14" s="17">
        <v>29.51</v>
      </c>
    </row>
    <row r="15" spans="1:10" customHeight="1" ht="18" s="7" customFormat="1">
      <c r="A15" s="47"/>
      <c r="B15" s="9" t="s">
        <v>20</v>
      </c>
      <c r="C15" s="50">
        <f>150+30+95+205+30</f>
        <v>510</v>
      </c>
      <c r="D15" s="75">
        <f>SUM(D10:D14)</f>
        <v>77.36</v>
      </c>
      <c r="E15" s="75">
        <f>SUM(E10:E14)</f>
        <v>5.9025</v>
      </c>
      <c r="F15" s="75">
        <f>SUM(F10:F14)</f>
        <v>0.82</v>
      </c>
      <c r="G15" s="75">
        <f>SUM(G10:G14)</f>
        <v>55.5325</v>
      </c>
      <c r="H15" s="75">
        <f>SUM(H10:H14)</f>
        <v>254.45</v>
      </c>
      <c r="I15" s="7">
        <v>77.36</v>
      </c>
      <c r="J15" s="119">
        <f>D15-I15</f>
        <v>0</v>
      </c>
    </row>
    <row r="16" spans="1:10" customHeight="1" ht="18">
      <c r="A16" s="235" t="s">
        <v>21</v>
      </c>
      <c r="B16" s="236"/>
      <c r="C16" s="54"/>
      <c r="D16" s="36"/>
      <c r="E16" s="18"/>
      <c r="F16" s="18"/>
      <c r="G16" s="18"/>
      <c r="H16" s="18"/>
    </row>
    <row r="17" spans="1:10" customHeight="1" ht="18">
      <c r="A17" s="90">
        <v>65</v>
      </c>
      <c r="B17" s="1" t="s">
        <v>22</v>
      </c>
      <c r="C17" s="62">
        <v>200</v>
      </c>
      <c r="D17" s="21">
        <v>9.75</v>
      </c>
      <c r="E17" s="26">
        <v>6.4</v>
      </c>
      <c r="F17" s="26">
        <v>8</v>
      </c>
      <c r="G17" s="26">
        <v>30.7</v>
      </c>
      <c r="H17" s="26">
        <v>220.4</v>
      </c>
    </row>
    <row r="18" spans="1:10" customHeight="1" ht="18">
      <c r="A18" s="90">
        <v>97</v>
      </c>
      <c r="B18" s="1" t="s">
        <v>23</v>
      </c>
      <c r="C18" s="29">
        <v>90</v>
      </c>
      <c r="D18" s="21">
        <f>50.35-14+5-0.41+0.59-1.21+2</f>
        <v>42.32</v>
      </c>
      <c r="E18" s="16">
        <f>14.02-7</f>
        <v>7.02</v>
      </c>
      <c r="F18" s="16">
        <f>9.3-1.96</f>
        <v>7.34</v>
      </c>
      <c r="G18" s="16">
        <v>7.1</v>
      </c>
      <c r="H18" s="16">
        <v>122.54</v>
      </c>
    </row>
    <row r="19" spans="1:10" customHeight="1" ht="18">
      <c r="A19" s="91" t="s">
        <v>24</v>
      </c>
      <c r="B19" s="1" t="s">
        <v>25</v>
      </c>
      <c r="C19" s="57">
        <v>150</v>
      </c>
      <c r="D19" s="21">
        <v>8.49</v>
      </c>
      <c r="E19" s="19">
        <v>4.925</v>
      </c>
      <c r="F19" s="19">
        <v>6.8</v>
      </c>
      <c r="G19" s="19">
        <v>21.008333333333</v>
      </c>
      <c r="H19" s="19">
        <v>164.93333333333</v>
      </c>
    </row>
    <row r="20" spans="1:10" customHeight="1" ht="18">
      <c r="A20" s="45">
        <v>300</v>
      </c>
      <c r="B20" s="76" t="s">
        <v>26</v>
      </c>
      <c r="C20" s="51">
        <v>200</v>
      </c>
      <c r="D20" s="21">
        <v>7.73</v>
      </c>
      <c r="E20" s="4">
        <v>0.1</v>
      </c>
      <c r="F20" s="4">
        <v>0.0</v>
      </c>
      <c r="G20" s="4">
        <v>20.2</v>
      </c>
      <c r="H20" s="4">
        <v>81.2</v>
      </c>
    </row>
    <row r="21" spans="1:10" customHeight="1" ht="18" s="8" customFormat="1">
      <c r="A21" s="48" t="s">
        <v>27</v>
      </c>
      <c r="B21" s="4" t="s">
        <v>28</v>
      </c>
      <c r="C21" s="51">
        <v>30</v>
      </c>
      <c r="D21" s="21">
        <v>2.76</v>
      </c>
      <c r="E21" s="2">
        <f>6.6/100*30</f>
        <v>1.98</v>
      </c>
      <c r="F21" s="52">
        <f>1.2/100*30</f>
        <v>0.36</v>
      </c>
      <c r="G21" s="2">
        <f>33.4/100*30</f>
        <v>10.02</v>
      </c>
      <c r="H21" s="2">
        <v>51.24</v>
      </c>
    </row>
    <row r="22" spans="1:10" customHeight="1" ht="18" s="8" customFormat="1">
      <c r="A22" s="91" t="s">
        <v>29</v>
      </c>
      <c r="B22" s="4" t="s">
        <v>14</v>
      </c>
      <c r="C22" s="51">
        <v>30</v>
      </c>
      <c r="D22" s="21">
        <v>3.12</v>
      </c>
      <c r="E22" s="4">
        <f>7.9/100*30</f>
        <v>2.37</v>
      </c>
      <c r="F22" s="4">
        <f>1/100*30</f>
        <v>0.3</v>
      </c>
      <c r="G22" s="4">
        <f>48.3/100*30</f>
        <v>14.49</v>
      </c>
      <c r="H22" s="4">
        <v>70.14</v>
      </c>
    </row>
    <row r="23" spans="1:10" customHeight="1" ht="18" s="8" customFormat="1">
      <c r="A23" s="47"/>
      <c r="B23" s="9" t="s">
        <v>20</v>
      </c>
      <c r="C23" s="50">
        <f>SUM(C17:C22)</f>
        <v>700</v>
      </c>
      <c r="D23" s="35">
        <f>SUM(D17:D22)</f>
        <v>74.17</v>
      </c>
      <c r="E23" s="35">
        <f>SUM(E17:E22)</f>
        <v>22.795</v>
      </c>
      <c r="F23" s="35">
        <f>SUM(F17:F22)</f>
        <v>22.8</v>
      </c>
      <c r="G23" s="35">
        <f>SUM(G17:G22)</f>
        <v>103.51833333333</v>
      </c>
      <c r="H23" s="35">
        <f>SUM(H17:H22)</f>
        <v>710.45333333333</v>
      </c>
    </row>
    <row r="24" spans="1:10" customHeight="1" ht="18">
      <c r="A24" s="47"/>
      <c r="B24" s="3" t="s">
        <v>30</v>
      </c>
      <c r="C24" s="50"/>
      <c r="D24" s="64"/>
      <c r="E24" s="35">
        <f>E15+E23</f>
        <v>28.6975</v>
      </c>
      <c r="F24" s="35">
        <f>F15+F23</f>
        <v>23.62</v>
      </c>
      <c r="G24" s="35">
        <f>G15+G23</f>
        <v>159.05083333333</v>
      </c>
      <c r="H24" s="35">
        <f>H15+H23</f>
        <v>964.90333333333</v>
      </c>
    </row>
    <row r="25" spans="1:10" customHeight="1" ht="18">
      <c r="A25" s="69"/>
      <c r="B25" s="23"/>
      <c r="C25" s="70"/>
      <c r="D25" s="71"/>
      <c r="E25" s="72"/>
      <c r="F25" s="72"/>
      <c r="G25" s="72"/>
      <c r="H25" s="72"/>
    </row>
    <row r="26" spans="1:10" customHeight="1" ht="18">
      <c r="A26" s="237" t="s">
        <v>31</v>
      </c>
      <c r="B26" s="238"/>
      <c r="C26" s="53"/>
      <c r="D26" s="23"/>
      <c r="E26" s="23"/>
      <c r="F26" s="23"/>
      <c r="G26" s="23"/>
      <c r="H26" s="23"/>
    </row>
    <row r="27" spans="1:10" customHeight="1" ht="18">
      <c r="A27" s="247" t="s">
        <v>11</v>
      </c>
      <c r="B27" s="240"/>
      <c r="C27" s="44"/>
      <c r="D27" s="37"/>
      <c r="E27" s="24"/>
      <c r="F27" s="65"/>
      <c r="G27" s="24"/>
      <c r="H27" s="24"/>
    </row>
    <row r="28" spans="1:10" customHeight="1" ht="18">
      <c r="A28" s="45">
        <v>234</v>
      </c>
      <c r="B28" s="2" t="s">
        <v>32</v>
      </c>
      <c r="C28" s="60">
        <v>115</v>
      </c>
      <c r="D28" s="38">
        <v>42.34</v>
      </c>
      <c r="E28" s="31">
        <f>6.9+3.28</f>
        <v>10.18</v>
      </c>
      <c r="F28" s="31">
        <f>10.1-1.28</f>
        <v>8.82</v>
      </c>
      <c r="G28" s="31">
        <v>8.7</v>
      </c>
      <c r="H28" s="31">
        <v>154.9</v>
      </c>
    </row>
    <row r="29" spans="1:10" customHeight="1" ht="18">
      <c r="A29" s="91" t="s">
        <v>29</v>
      </c>
      <c r="B29" s="4" t="s">
        <v>14</v>
      </c>
      <c r="C29" s="51">
        <v>40</v>
      </c>
      <c r="D29" s="21">
        <v>3.12</v>
      </c>
      <c r="E29" s="4">
        <f>7.9/100*30</f>
        <v>2.37</v>
      </c>
      <c r="F29" s="4">
        <f>1/100*30</f>
        <v>0.3</v>
      </c>
      <c r="G29" s="4">
        <f>48.3/100*30</f>
        <v>14.49</v>
      </c>
      <c r="H29" s="4">
        <v>70.14</v>
      </c>
    </row>
    <row r="30" spans="1:10" customHeight="1" ht="18" s="8" customFormat="1">
      <c r="A30" s="45">
        <v>300</v>
      </c>
      <c r="B30" s="25" t="s">
        <v>33</v>
      </c>
      <c r="C30" s="51">
        <v>200</v>
      </c>
      <c r="D30" s="21">
        <v>3.52</v>
      </c>
      <c r="E30" s="4">
        <v>0.1</v>
      </c>
      <c r="F30" s="4">
        <v>0.0</v>
      </c>
      <c r="G30" s="4">
        <v>20.2</v>
      </c>
      <c r="H30" s="4">
        <v>81.2</v>
      </c>
    </row>
    <row r="31" spans="1:10" customHeight="1" ht="18" s="8" customFormat="1">
      <c r="A31" s="45" t="s">
        <v>18</v>
      </c>
      <c r="B31" s="14" t="s">
        <v>34</v>
      </c>
      <c r="C31" s="30">
        <v>100</v>
      </c>
      <c r="D31" s="41">
        <v>11.56</v>
      </c>
      <c r="E31" s="17">
        <v>0.84115384615385</v>
      </c>
      <c r="F31" s="17">
        <v>0.18692307692308</v>
      </c>
      <c r="G31" s="17">
        <v>2.1426923076923</v>
      </c>
      <c r="H31" s="17">
        <v>13.62</v>
      </c>
    </row>
    <row r="32" spans="1:10" customHeight="1" ht="18">
      <c r="A32" s="45" t="s">
        <v>18</v>
      </c>
      <c r="B32" s="27" t="s">
        <v>35</v>
      </c>
      <c r="C32" s="30">
        <v>60</v>
      </c>
      <c r="D32" s="41">
        <v>13.63</v>
      </c>
      <c r="E32" s="17">
        <v>1.92</v>
      </c>
      <c r="F32" s="17">
        <v>6.5</v>
      </c>
      <c r="G32" s="17">
        <f>19.17+3</f>
        <v>22.17</v>
      </c>
      <c r="H32" s="17">
        <v>154.86</v>
      </c>
    </row>
    <row r="33" spans="1:10" customHeight="1" ht="18">
      <c r="A33" s="46"/>
      <c r="B33" s="9" t="s">
        <v>20</v>
      </c>
      <c r="C33" s="50">
        <f>SUM(C28:C32)</f>
        <v>515</v>
      </c>
      <c r="D33" s="35">
        <f>SUM(D28:D32)</f>
        <v>74.17</v>
      </c>
      <c r="E33" s="35">
        <f>SUM(E28:E32)</f>
        <v>15.411153846154</v>
      </c>
      <c r="F33" s="35">
        <f>SUM(F28:F32)</f>
        <v>15.806923076923</v>
      </c>
      <c r="G33" s="35">
        <f>SUM(G28:G32)</f>
        <v>67.702692307692</v>
      </c>
      <c r="H33" s="35">
        <f>SUM(H28:H32)</f>
        <v>474.72</v>
      </c>
    </row>
    <row r="34" spans="1:10" customHeight="1" ht="18">
      <c r="A34" s="235" t="s">
        <v>21</v>
      </c>
      <c r="B34" s="236"/>
      <c r="C34" s="54"/>
      <c r="D34" s="36"/>
      <c r="E34" s="18"/>
      <c r="F34" s="18"/>
      <c r="G34" s="18"/>
      <c r="H34" s="18"/>
    </row>
    <row r="35" spans="1:10" customHeight="1" ht="18">
      <c r="A35" s="45">
        <v>62</v>
      </c>
      <c r="B35" s="1" t="s">
        <v>36</v>
      </c>
      <c r="C35" s="29">
        <v>200</v>
      </c>
      <c r="D35" s="21">
        <v>12.75</v>
      </c>
      <c r="E35" s="16">
        <v>5.8</v>
      </c>
      <c r="F35" s="16">
        <v>4.3</v>
      </c>
      <c r="G35" s="16">
        <v>27.8</v>
      </c>
      <c r="H35" s="4">
        <v>173.1</v>
      </c>
    </row>
    <row r="36" spans="1:10" customHeight="1" ht="18">
      <c r="A36" s="45">
        <v>158</v>
      </c>
      <c r="B36" s="25" t="s">
        <v>37</v>
      </c>
      <c r="C36" s="57">
        <v>220</v>
      </c>
      <c r="D36" s="41">
        <f>19.54+3.5+10.48+0.96+6.63</f>
        <v>41.11</v>
      </c>
      <c r="E36" s="14">
        <v>12.65</v>
      </c>
      <c r="F36" s="19">
        <f>13.2/180*220</f>
        <v>16.133333333333</v>
      </c>
      <c r="G36" s="19">
        <v>15.06</v>
      </c>
      <c r="H36" s="15">
        <v>256.04</v>
      </c>
    </row>
    <row r="37" spans="1:10" customHeight="1" ht="18">
      <c r="A37" s="45" t="s">
        <v>38</v>
      </c>
      <c r="B37" s="25" t="s">
        <v>39</v>
      </c>
      <c r="C37" s="51">
        <v>60</v>
      </c>
      <c r="D37" s="41">
        <v>6.3</v>
      </c>
      <c r="E37" s="22">
        <v>2.4</v>
      </c>
      <c r="F37" s="22">
        <v>0.9</v>
      </c>
      <c r="G37" s="22">
        <v>17.1</v>
      </c>
      <c r="H37" s="22">
        <v>83.4</v>
      </c>
    </row>
    <row r="38" spans="1:10" customHeight="1" ht="18">
      <c r="A38" s="45">
        <v>300</v>
      </c>
      <c r="B38" s="25" t="s">
        <v>40</v>
      </c>
      <c r="C38" s="51">
        <v>200</v>
      </c>
      <c r="D38" s="21">
        <v>7.09</v>
      </c>
      <c r="E38" s="22">
        <v>0.2</v>
      </c>
      <c r="F38" s="22">
        <v>0.1</v>
      </c>
      <c r="G38" s="22">
        <v>17.2</v>
      </c>
      <c r="H38" s="13">
        <v>70</v>
      </c>
    </row>
    <row r="39" spans="1:10" customHeight="1" ht="18" s="8" customFormat="1">
      <c r="A39" s="48" t="s">
        <v>27</v>
      </c>
      <c r="B39" s="4" t="s">
        <v>28</v>
      </c>
      <c r="C39" s="51">
        <v>30</v>
      </c>
      <c r="D39" s="21">
        <v>2.76</v>
      </c>
      <c r="E39" s="2">
        <f>6.6/100*30</f>
        <v>1.98</v>
      </c>
      <c r="F39" s="52">
        <f>1.2/100*30</f>
        <v>0.36</v>
      </c>
      <c r="G39" s="2">
        <f>33.4/100*30</f>
        <v>10.02</v>
      </c>
      <c r="H39" s="2">
        <v>51.24</v>
      </c>
    </row>
    <row r="40" spans="1:10" customHeight="1" ht="18" s="8" customFormat="1">
      <c r="A40" s="48" t="s">
        <v>29</v>
      </c>
      <c r="B40" s="4" t="s">
        <v>14</v>
      </c>
      <c r="C40" s="51">
        <v>40</v>
      </c>
      <c r="D40" s="21">
        <f>3.12/30*40</f>
        <v>4.16</v>
      </c>
      <c r="E40" s="4">
        <f>7.9/100*30</f>
        <v>2.37</v>
      </c>
      <c r="F40" s="4">
        <f>1/100*30</f>
        <v>0.3</v>
      </c>
      <c r="G40" s="4">
        <f>48.3/100*30</f>
        <v>14.49</v>
      </c>
      <c r="H40" s="4">
        <v>70.14</v>
      </c>
    </row>
    <row r="41" spans="1:10" customHeight="1" ht="18" s="8" customFormat="1">
      <c r="A41" s="47"/>
      <c r="B41" s="9" t="s">
        <v>20</v>
      </c>
      <c r="C41" s="50">
        <f>SUM(C35:C40)</f>
        <v>750</v>
      </c>
      <c r="D41" s="75">
        <f>SUM(D35:D40)</f>
        <v>74.17</v>
      </c>
      <c r="E41" s="75">
        <f>SUM(E35:E40)</f>
        <v>25.4</v>
      </c>
      <c r="F41" s="75">
        <f>SUM(F35:F40)</f>
        <v>22.093333333333</v>
      </c>
      <c r="G41" s="75">
        <f>SUM(G35:G40)</f>
        <v>101.67</v>
      </c>
      <c r="H41" s="75">
        <f>SUM(H35:H40)</f>
        <v>703.92</v>
      </c>
    </row>
    <row r="42" spans="1:10" customHeight="1" ht="18">
      <c r="A42" s="47"/>
      <c r="B42" s="3" t="s">
        <v>30</v>
      </c>
      <c r="C42" s="50"/>
      <c r="D42" s="35"/>
      <c r="E42" s="35">
        <f>E33+E41</f>
        <v>40.811153846154</v>
      </c>
      <c r="F42" s="35">
        <f>F33+F41</f>
        <v>37.900256410256</v>
      </c>
      <c r="G42" s="35">
        <f>G33+G41</f>
        <v>169.37269230769</v>
      </c>
      <c r="H42" s="35">
        <f>H33+H41</f>
        <v>1178.64</v>
      </c>
    </row>
    <row r="43" spans="1:10" customHeight="1" ht="30">
      <c r="A43" s="238" t="s">
        <v>41</v>
      </c>
      <c r="B43" s="238"/>
      <c r="C43" s="53"/>
      <c r="D43" s="23"/>
      <c r="E43" s="18"/>
      <c r="F43" s="18"/>
      <c r="G43" s="18"/>
      <c r="H43" s="23"/>
    </row>
    <row r="44" spans="1:10" customHeight="1" ht="15.75">
      <c r="A44" s="240" t="s">
        <v>42</v>
      </c>
      <c r="B44" s="240"/>
      <c r="C44" s="44"/>
      <c r="D44" s="36"/>
      <c r="E44" s="115"/>
      <c r="F44" s="18"/>
      <c r="G44" s="18"/>
      <c r="H44" s="18"/>
    </row>
    <row r="45" spans="1:10" customHeight="1" ht="18">
      <c r="A45" s="45">
        <v>208</v>
      </c>
      <c r="B45" s="4" t="s">
        <v>43</v>
      </c>
      <c r="C45" s="51">
        <v>200</v>
      </c>
      <c r="D45" s="41">
        <v>29.11</v>
      </c>
      <c r="E45" s="17">
        <v>12.31</v>
      </c>
      <c r="F45" s="17">
        <f>12.744938271605+1.18+1.5</f>
        <v>15.424938271605</v>
      </c>
      <c r="G45" s="17">
        <f>40.246913580247-27.11+17.39</f>
        <v>30.526913580247</v>
      </c>
      <c r="H45" s="73">
        <v>310.17</v>
      </c>
    </row>
    <row r="46" spans="1:10" customHeight="1" ht="18">
      <c r="A46" s="48" t="s">
        <v>29</v>
      </c>
      <c r="B46" s="4" t="s">
        <v>44</v>
      </c>
      <c r="C46" s="51">
        <v>50</v>
      </c>
      <c r="D46" s="21">
        <v>27.7</v>
      </c>
      <c r="E46" s="4">
        <f>7.9/100*30</f>
        <v>2.37</v>
      </c>
      <c r="F46" s="4">
        <f>1/100*30</f>
        <v>0.3</v>
      </c>
      <c r="G46" s="4">
        <f>48.3/100*30</f>
        <v>14.49</v>
      </c>
      <c r="H46" s="4">
        <v>70.14</v>
      </c>
    </row>
    <row r="47" spans="1:10" customHeight="1" ht="18">
      <c r="A47" s="45" t="s">
        <v>18</v>
      </c>
      <c r="B47" s="14" t="s">
        <v>34</v>
      </c>
      <c r="C47" s="30">
        <v>100</v>
      </c>
      <c r="D47" s="41">
        <v>13.841666666667</v>
      </c>
      <c r="E47" s="17">
        <v>0.70096153846154</v>
      </c>
      <c r="F47" s="17">
        <v>0.15576923076923</v>
      </c>
      <c r="G47" s="17">
        <v>1.7855769230769</v>
      </c>
      <c r="H47" s="17">
        <v>11.35</v>
      </c>
    </row>
    <row r="48" spans="1:10" customHeight="1" ht="18">
      <c r="A48" s="45">
        <v>300</v>
      </c>
      <c r="B48" s="25" t="s">
        <v>33</v>
      </c>
      <c r="C48" s="51">
        <v>200</v>
      </c>
      <c r="D48" s="21">
        <v>3.52</v>
      </c>
      <c r="E48" s="4">
        <v>0.1</v>
      </c>
      <c r="F48" s="4">
        <v>0.0</v>
      </c>
      <c r="G48" s="4">
        <v>20.2</v>
      </c>
      <c r="H48" s="4">
        <v>81.2</v>
      </c>
    </row>
    <row r="49" spans="1:10" customHeight="1" ht="18">
      <c r="A49" s="47"/>
      <c r="B49" s="9" t="s">
        <v>20</v>
      </c>
      <c r="C49" s="50">
        <f>SUM(C45:C48)</f>
        <v>550</v>
      </c>
      <c r="D49" s="35">
        <f>SUM(D45:D48)</f>
        <v>74.171666666667</v>
      </c>
      <c r="E49" s="5">
        <f>SUM(E45:E48)</f>
        <v>15.480961538462</v>
      </c>
      <c r="F49" s="5">
        <f>SUM(F45:F48)</f>
        <v>15.880707502374</v>
      </c>
      <c r="G49" s="5">
        <f>SUM(G45:G48)</f>
        <v>67.002490503324</v>
      </c>
      <c r="H49" s="5">
        <f>SUM(H45:H48)</f>
        <v>472.86</v>
      </c>
    </row>
    <row r="50" spans="1:10" customHeight="1" ht="18">
      <c r="A50" s="235" t="s">
        <v>21</v>
      </c>
      <c r="B50" s="236"/>
      <c r="C50" s="54"/>
      <c r="D50" s="36"/>
      <c r="E50" s="18"/>
      <c r="F50" s="18"/>
      <c r="G50" s="18"/>
      <c r="H50" s="18"/>
    </row>
    <row r="51" spans="1:10" customHeight="1" ht="18">
      <c r="A51" s="45">
        <v>55</v>
      </c>
      <c r="B51" s="20" t="s">
        <v>45</v>
      </c>
      <c r="C51" s="29">
        <v>200</v>
      </c>
      <c r="D51" s="41">
        <v>12.75</v>
      </c>
      <c r="E51" s="19">
        <v>6.25</v>
      </c>
      <c r="F51" s="19">
        <v>9.7</v>
      </c>
      <c r="G51" s="19">
        <f>31.8-13</f>
        <v>18.8</v>
      </c>
      <c r="H51" s="19">
        <v>187.5</v>
      </c>
    </row>
    <row r="52" spans="1:10" customHeight="1" ht="18">
      <c r="A52" s="45">
        <v>158</v>
      </c>
      <c r="B52" s="116" t="s">
        <v>46</v>
      </c>
      <c r="C52" s="57">
        <v>90</v>
      </c>
      <c r="D52" s="41">
        <v>35.52</v>
      </c>
      <c r="E52" s="14">
        <f>12.65-4.6</f>
        <v>8.05</v>
      </c>
      <c r="F52" s="19">
        <f>13.2/180*220-5</f>
        <v>11.133333333333</v>
      </c>
      <c r="G52" s="19">
        <v>15.06</v>
      </c>
      <c r="H52" s="15">
        <v>192.64</v>
      </c>
    </row>
    <row r="53" spans="1:10" customHeight="1" ht="18">
      <c r="A53" s="45">
        <v>146</v>
      </c>
      <c r="B53" s="20" t="s">
        <v>47</v>
      </c>
      <c r="C53" s="57">
        <v>150</v>
      </c>
      <c r="D53" s="41">
        <v>12.29</v>
      </c>
      <c r="E53" s="19">
        <v>4.75</v>
      </c>
      <c r="F53" s="19">
        <v>2.46</v>
      </c>
      <c r="G53" s="19">
        <v>21.47</v>
      </c>
      <c r="H53" s="15">
        <v>127.03</v>
      </c>
    </row>
    <row r="54" spans="1:10" customHeight="1" ht="18" s="8" customFormat="1">
      <c r="A54" s="45">
        <v>300</v>
      </c>
      <c r="B54" s="105" t="s">
        <v>26</v>
      </c>
      <c r="C54" s="51">
        <v>200</v>
      </c>
      <c r="D54" s="21">
        <v>7.73</v>
      </c>
      <c r="E54" s="4">
        <v>0.1</v>
      </c>
      <c r="F54" s="4">
        <v>0.0</v>
      </c>
      <c r="G54" s="4">
        <v>20.2</v>
      </c>
      <c r="H54" s="4">
        <v>81.2</v>
      </c>
    </row>
    <row r="55" spans="1:10" customHeight="1" ht="18" s="8" customFormat="1">
      <c r="A55" s="48" t="s">
        <v>27</v>
      </c>
      <c r="B55" s="4" t="s">
        <v>28</v>
      </c>
      <c r="C55" s="51">
        <v>30</v>
      </c>
      <c r="D55" s="21">
        <v>2.76</v>
      </c>
      <c r="E55" s="2">
        <f>6.6/100*30</f>
        <v>1.98</v>
      </c>
      <c r="F55" s="52">
        <f>1.2/100*30</f>
        <v>0.36</v>
      </c>
      <c r="G55" s="2">
        <f>33.4/100*30</f>
        <v>10.02</v>
      </c>
      <c r="H55" s="2">
        <v>51.24</v>
      </c>
    </row>
    <row r="56" spans="1:10" customHeight="1" ht="18" s="8" customFormat="1">
      <c r="A56" s="48" t="s">
        <v>29</v>
      </c>
      <c r="B56" s="4" t="s">
        <v>14</v>
      </c>
      <c r="C56" s="51">
        <v>30</v>
      </c>
      <c r="D56" s="21">
        <v>3.12</v>
      </c>
      <c r="E56" s="4">
        <f>7.9/100*30</f>
        <v>2.37</v>
      </c>
      <c r="F56" s="4">
        <f>1/100*30</f>
        <v>0.3</v>
      </c>
      <c r="G56" s="4">
        <f>48.3/100*30</f>
        <v>14.49</v>
      </c>
      <c r="H56" s="4">
        <v>70.14</v>
      </c>
    </row>
    <row r="57" spans="1:10" customHeight="1" ht="18">
      <c r="A57" s="47"/>
      <c r="B57" s="9" t="s">
        <v>20</v>
      </c>
      <c r="C57" s="50">
        <f>SUM(C51:C56)</f>
        <v>700</v>
      </c>
      <c r="D57" s="35">
        <f>SUM(D51:D56)</f>
        <v>74.17</v>
      </c>
      <c r="E57" s="35">
        <f>SUM(E51:E56)</f>
        <v>23.5</v>
      </c>
      <c r="F57" s="35">
        <f>SUM(F51:F56)</f>
        <v>23.953333333333</v>
      </c>
      <c r="G57" s="35">
        <f>SUM(G51:G56)</f>
        <v>100.04</v>
      </c>
      <c r="H57" s="5">
        <f>SUM(H51:H56)</f>
        <v>709.75</v>
      </c>
    </row>
    <row r="58" spans="1:10" customHeight="1" ht="18">
      <c r="A58" s="47"/>
      <c r="B58" s="3" t="s">
        <v>30</v>
      </c>
      <c r="C58" s="50"/>
      <c r="D58" s="68"/>
      <c r="E58" s="68">
        <f>E49+E57</f>
        <v>38.980961538462</v>
      </c>
      <c r="F58" s="68">
        <f>F49+F57</f>
        <v>39.834040835708</v>
      </c>
      <c r="G58" s="68">
        <f>G49+G57</f>
        <v>167.04249050332</v>
      </c>
      <c r="H58" s="68">
        <f>H49+H57</f>
        <v>1182.61</v>
      </c>
    </row>
    <row r="59" spans="1:10" customHeight="1" ht="18">
      <c r="A59" s="237" t="s">
        <v>48</v>
      </c>
      <c r="B59" s="238"/>
      <c r="C59" s="53"/>
      <c r="D59" s="23"/>
      <c r="E59" s="18"/>
      <c r="F59" s="18"/>
      <c r="G59" s="18"/>
      <c r="H59" s="23"/>
    </row>
    <row r="60" spans="1:10" customHeight="1" ht="18">
      <c r="A60" s="240" t="s">
        <v>42</v>
      </c>
      <c r="B60" s="240"/>
      <c r="C60" s="44"/>
      <c r="D60" s="36"/>
      <c r="E60" s="10"/>
      <c r="F60" s="18"/>
      <c r="G60" s="10"/>
      <c r="H60" s="18"/>
    </row>
    <row r="61" spans="1:10" customHeight="1" ht="18">
      <c r="A61" s="45">
        <v>96</v>
      </c>
      <c r="B61" s="1" t="s">
        <v>49</v>
      </c>
      <c r="C61" s="97">
        <v>90</v>
      </c>
      <c r="D61" s="21">
        <v>52.35</v>
      </c>
      <c r="E61" s="16">
        <f>14.02-7</f>
        <v>7.02</v>
      </c>
      <c r="F61" s="16">
        <f>9.3-1.96</f>
        <v>7.34</v>
      </c>
      <c r="G61" s="16">
        <v>7.1</v>
      </c>
      <c r="H61" s="16">
        <v>122.54</v>
      </c>
    </row>
    <row r="62" spans="1:10" customHeight="1" ht="18">
      <c r="A62" s="48" t="s">
        <v>24</v>
      </c>
      <c r="B62" s="1" t="s">
        <v>25</v>
      </c>
      <c r="C62" s="98">
        <v>180</v>
      </c>
      <c r="D62" s="41">
        <v>15.18</v>
      </c>
      <c r="E62" s="19">
        <f>12.72-6.81</f>
        <v>5.91</v>
      </c>
      <c r="F62" s="19">
        <v>8.16</v>
      </c>
      <c r="G62" s="19">
        <f>30.36-5.15</f>
        <v>25.21</v>
      </c>
      <c r="H62" s="19">
        <v>197.92</v>
      </c>
    </row>
    <row r="63" spans="1:10" customHeight="1" ht="18" s="8" customFormat="1">
      <c r="A63" s="45">
        <v>300</v>
      </c>
      <c r="B63" s="25" t="s">
        <v>33</v>
      </c>
      <c r="C63" s="99">
        <v>200</v>
      </c>
      <c r="D63" s="21">
        <v>3.52</v>
      </c>
      <c r="E63" s="4">
        <v>0.1</v>
      </c>
      <c r="F63" s="4">
        <v>0.0</v>
      </c>
      <c r="G63" s="4">
        <v>20.2</v>
      </c>
      <c r="H63" s="4">
        <v>81.2</v>
      </c>
    </row>
    <row r="64" spans="1:10" customHeight="1" ht="18">
      <c r="A64" s="48" t="s">
        <v>29</v>
      </c>
      <c r="B64" s="4" t="s">
        <v>14</v>
      </c>
      <c r="C64" s="51">
        <v>30</v>
      </c>
      <c r="D64" s="21">
        <v>3.12</v>
      </c>
      <c r="E64" s="4">
        <f>7.9/100*30</f>
        <v>2.37</v>
      </c>
      <c r="F64" s="4">
        <f>1/100*30</f>
        <v>0.3</v>
      </c>
      <c r="G64" s="4">
        <f>48.3/100*30</f>
        <v>14.49</v>
      </c>
      <c r="H64" s="4">
        <v>70.14</v>
      </c>
    </row>
    <row r="65" spans="1:10" customHeight="1" ht="18">
      <c r="A65" s="47"/>
      <c r="B65" s="9" t="s">
        <v>20</v>
      </c>
      <c r="C65" s="50">
        <f>SUM(C61:C64)</f>
        <v>500</v>
      </c>
      <c r="D65" s="86">
        <f>SUM(D61:D64)</f>
        <v>74.17</v>
      </c>
      <c r="E65" s="35">
        <f>SUM(E61:E64)</f>
        <v>15.4</v>
      </c>
      <c r="F65" s="35">
        <f>SUM(F61:F64)</f>
        <v>15.8</v>
      </c>
      <c r="G65" s="35">
        <f>SUM(G61:G64)</f>
        <v>67</v>
      </c>
      <c r="H65" s="35">
        <f>SUM(H61:H64)</f>
        <v>471.8</v>
      </c>
    </row>
    <row r="66" spans="1:10" customHeight="1" ht="18">
      <c r="A66" s="235" t="s">
        <v>21</v>
      </c>
      <c r="B66" s="236"/>
      <c r="C66" s="54"/>
      <c r="D66" s="36"/>
      <c r="E66" s="18"/>
      <c r="F66" s="18"/>
      <c r="G66" s="18"/>
      <c r="H66" s="18"/>
    </row>
    <row r="67" spans="1:10" customHeight="1" ht="15.75">
      <c r="A67" s="92" t="s">
        <v>18</v>
      </c>
      <c r="B67" s="14" t="s">
        <v>39</v>
      </c>
      <c r="C67" s="51">
        <v>60</v>
      </c>
      <c r="D67" s="96">
        <v>7</v>
      </c>
      <c r="E67" s="22">
        <v>2.4</v>
      </c>
      <c r="F67" s="22">
        <v>0.9</v>
      </c>
      <c r="G67" s="22">
        <v>17.1</v>
      </c>
      <c r="H67" s="22">
        <v>83.4</v>
      </c>
    </row>
    <row r="68" spans="1:10" customHeight="1" ht="18" s="8" customFormat="1">
      <c r="A68" s="45">
        <v>55</v>
      </c>
      <c r="B68" s="14" t="s">
        <v>50</v>
      </c>
      <c r="C68" s="57">
        <v>220</v>
      </c>
      <c r="D68" s="41">
        <v>16.25</v>
      </c>
      <c r="E68" s="14">
        <v>2</v>
      </c>
      <c r="F68" s="14">
        <v>9.4</v>
      </c>
      <c r="G68" s="14">
        <v>17.8</v>
      </c>
      <c r="H68" s="14">
        <v>163.8</v>
      </c>
    </row>
    <row r="69" spans="1:10" customHeight="1" ht="18" s="8" customFormat="1">
      <c r="A69" s="92">
        <v>107</v>
      </c>
      <c r="B69" s="25" t="s">
        <v>51</v>
      </c>
      <c r="C69" s="57">
        <v>90</v>
      </c>
      <c r="D69" s="21">
        <f>28.39-0.35+8+1.58-6.35+3.88-4.21</f>
        <v>30.94</v>
      </c>
      <c r="E69" s="22">
        <v>8.82</v>
      </c>
      <c r="F69" s="22">
        <v>5.04</v>
      </c>
      <c r="G69" s="22">
        <v>18.78</v>
      </c>
      <c r="H69" s="22">
        <v>155.76</v>
      </c>
    </row>
    <row r="70" spans="1:10" customHeight="1" ht="18">
      <c r="A70" s="92">
        <v>227</v>
      </c>
      <c r="B70" s="1" t="s">
        <v>52</v>
      </c>
      <c r="C70" s="57">
        <v>150</v>
      </c>
      <c r="D70" s="41">
        <v>9.49</v>
      </c>
      <c r="E70" s="31">
        <v>7.1253333333333</v>
      </c>
      <c r="F70" s="31">
        <v>7.69</v>
      </c>
      <c r="G70" s="31">
        <v>21.408</v>
      </c>
      <c r="H70" s="31">
        <v>183.34</v>
      </c>
    </row>
    <row r="71" spans="1:10" customHeight="1" ht="18">
      <c r="A71" s="45">
        <v>300</v>
      </c>
      <c r="B71" s="76" t="s">
        <v>53</v>
      </c>
      <c r="C71" s="51">
        <v>200</v>
      </c>
      <c r="D71" s="21">
        <v>7.73</v>
      </c>
      <c r="E71" s="4">
        <v>0.1</v>
      </c>
      <c r="F71" s="4">
        <v>0.0</v>
      </c>
      <c r="G71" s="4">
        <v>20.2</v>
      </c>
      <c r="H71" s="4">
        <v>81.2</v>
      </c>
    </row>
    <row r="72" spans="1:10" customHeight="1" ht="18">
      <c r="A72" s="101" t="s">
        <v>27</v>
      </c>
      <c r="B72" s="4" t="s">
        <v>28</v>
      </c>
      <c r="C72" s="51">
        <v>40</v>
      </c>
      <c r="D72" s="21">
        <v>2.76</v>
      </c>
      <c r="E72" s="2">
        <f>6.6/100*30</f>
        <v>1.98</v>
      </c>
      <c r="F72" s="52">
        <f>1.2/100*30</f>
        <v>0.36</v>
      </c>
      <c r="G72" s="2">
        <f>33.4/100*30</f>
        <v>10.02</v>
      </c>
      <c r="H72" s="2">
        <v>51.24</v>
      </c>
    </row>
    <row r="73" spans="1:10" customHeight="1" ht="18">
      <c r="A73" s="47"/>
      <c r="B73" s="9" t="s">
        <v>20</v>
      </c>
      <c r="C73" s="50">
        <f>SUM(C67:C72)</f>
        <v>760</v>
      </c>
      <c r="D73" s="35">
        <f>SUM(D67:D72)</f>
        <v>74.17</v>
      </c>
      <c r="E73" s="5">
        <f>SUM(E67:E72)</f>
        <v>22.425333333333</v>
      </c>
      <c r="F73" s="5">
        <f>SUM(F67:F72)</f>
        <v>23.39</v>
      </c>
      <c r="G73" s="5">
        <f>SUM(G67:G72)</f>
        <v>105.308</v>
      </c>
      <c r="H73" s="5">
        <f>SUM(H67:H72)</f>
        <v>718.74</v>
      </c>
      <c r="I73" s="114"/>
    </row>
    <row r="74" spans="1:10" customHeight="1" ht="18">
      <c r="A74" s="47"/>
      <c r="B74" s="3" t="s">
        <v>30</v>
      </c>
      <c r="C74" s="50"/>
      <c r="D74" s="64"/>
      <c r="E74" s="6">
        <f>E65+E73</f>
        <v>37.825333333333</v>
      </c>
      <c r="F74" s="6">
        <f>F65+F73</f>
        <v>39.19</v>
      </c>
      <c r="G74" s="6">
        <f>G65+G73</f>
        <v>172.308</v>
      </c>
      <c r="H74" s="6">
        <f>H65+H73</f>
        <v>1190.54</v>
      </c>
    </row>
    <row r="75" spans="1:10" customHeight="1" ht="18">
      <c r="A75" s="237" t="s">
        <v>54</v>
      </c>
      <c r="B75" s="238"/>
      <c r="C75" s="53"/>
      <c r="D75" s="23"/>
      <c r="E75" s="18"/>
      <c r="F75" s="18"/>
      <c r="G75" s="18"/>
      <c r="H75" s="23"/>
    </row>
    <row r="76" spans="1:10" customHeight="1" ht="18">
      <c r="A76" s="240" t="s">
        <v>42</v>
      </c>
      <c r="B76" s="240"/>
      <c r="C76" s="44"/>
      <c r="D76" s="36"/>
      <c r="E76" s="18"/>
      <c r="F76" s="10"/>
      <c r="G76" s="10"/>
      <c r="H76" s="18"/>
    </row>
    <row r="77" spans="1:10" customHeight="1" ht="18">
      <c r="A77" s="92">
        <v>110</v>
      </c>
      <c r="B77" s="93" t="s">
        <v>55</v>
      </c>
      <c r="C77" s="60">
        <v>90</v>
      </c>
      <c r="D77" s="38">
        <f>40.65+4.6-3.12</f>
        <v>42.13</v>
      </c>
      <c r="E77" s="31">
        <v>6.68</v>
      </c>
      <c r="F77" s="31">
        <v>2.82</v>
      </c>
      <c r="G77" s="31">
        <v>8.7</v>
      </c>
      <c r="H77" s="31">
        <v>72.9</v>
      </c>
    </row>
    <row r="78" spans="1:10" customHeight="1" ht="18">
      <c r="A78" s="92">
        <v>227</v>
      </c>
      <c r="B78" s="93" t="s">
        <v>56</v>
      </c>
      <c r="C78" s="51">
        <v>150</v>
      </c>
      <c r="D78" s="41">
        <v>11.77</v>
      </c>
      <c r="E78" s="17">
        <v>4.375</v>
      </c>
      <c r="F78" s="17">
        <v>6.75</v>
      </c>
      <c r="G78" s="17">
        <v>23.75</v>
      </c>
      <c r="H78" s="17">
        <v>138.6</v>
      </c>
    </row>
    <row r="79" spans="1:10" customHeight="1" ht="18">
      <c r="A79" s="48" t="s">
        <v>29</v>
      </c>
      <c r="B79" s="4" t="s">
        <v>14</v>
      </c>
      <c r="C79" s="51">
        <v>30</v>
      </c>
      <c r="D79" s="21">
        <v>3.12</v>
      </c>
      <c r="E79" s="4">
        <f>7.9/100*30</f>
        <v>2.37</v>
      </c>
      <c r="F79" s="4">
        <f>1/100*30</f>
        <v>0.3</v>
      </c>
      <c r="G79" s="4">
        <f>48.3/100*30</f>
        <v>14.49</v>
      </c>
      <c r="H79" s="4">
        <v>70.14</v>
      </c>
    </row>
    <row r="80" spans="1:10" customHeight="1" ht="18">
      <c r="A80" s="45">
        <v>300</v>
      </c>
      <c r="B80" s="25" t="s">
        <v>33</v>
      </c>
      <c r="C80" s="99">
        <v>200</v>
      </c>
      <c r="D80" s="21">
        <v>3.52</v>
      </c>
      <c r="E80" s="4">
        <v>0.1</v>
      </c>
      <c r="F80" s="4">
        <v>0.0</v>
      </c>
      <c r="G80" s="4">
        <v>20.2</v>
      </c>
      <c r="H80" s="4">
        <v>81.2</v>
      </c>
    </row>
    <row r="81" spans="1:10" customHeight="1" ht="18">
      <c r="A81" s="45" t="s">
        <v>18</v>
      </c>
      <c r="B81" s="27" t="s">
        <v>35</v>
      </c>
      <c r="C81" s="30">
        <v>60</v>
      </c>
      <c r="D81" s="41">
        <v>13.63</v>
      </c>
      <c r="E81" s="17">
        <v>1.92</v>
      </c>
      <c r="F81" s="17">
        <v>6.5</v>
      </c>
      <c r="G81" s="17">
        <v>12.17</v>
      </c>
      <c r="H81" s="17">
        <v>114.86</v>
      </c>
    </row>
    <row r="82" spans="1:10" customHeight="1" ht="18">
      <c r="A82" s="47"/>
      <c r="B82" s="9" t="s">
        <v>20</v>
      </c>
      <c r="C82" s="50">
        <f>SUM(C77:C81)</f>
        <v>530</v>
      </c>
      <c r="D82" s="35">
        <f>SUM(D77:D81)</f>
        <v>74.17</v>
      </c>
      <c r="E82" s="5">
        <f>SUM(E77:E81)</f>
        <v>15.445</v>
      </c>
      <c r="F82" s="5">
        <f>SUM(F77:F81)</f>
        <v>16.37</v>
      </c>
      <c r="G82" s="5">
        <f>SUM(G77:G81)</f>
        <v>79.31</v>
      </c>
      <c r="H82" s="5">
        <f>SUM(H77:H81)</f>
        <v>477.7</v>
      </c>
    </row>
    <row r="83" spans="1:10" customHeight="1" ht="18">
      <c r="A83" s="235" t="s">
        <v>21</v>
      </c>
      <c r="B83" s="236"/>
      <c r="C83" s="54"/>
      <c r="D83" s="36"/>
      <c r="E83" s="18"/>
      <c r="F83" s="18"/>
      <c r="G83" s="18"/>
      <c r="H83" s="18"/>
    </row>
    <row r="84" spans="1:10" customHeight="1" ht="18">
      <c r="A84" s="45">
        <v>65</v>
      </c>
      <c r="B84" s="20" t="s">
        <v>57</v>
      </c>
      <c r="C84" s="62">
        <v>250</v>
      </c>
      <c r="D84" s="38">
        <v>11.75</v>
      </c>
      <c r="E84" s="13">
        <v>7.3</v>
      </c>
      <c r="F84" s="13">
        <f>4.4+3</f>
        <v>7.4</v>
      </c>
      <c r="G84" s="13">
        <v>27.8</v>
      </c>
      <c r="H84" s="13">
        <v>207</v>
      </c>
    </row>
    <row r="85" spans="1:10" customHeight="1" ht="18">
      <c r="A85" s="45">
        <v>259</v>
      </c>
      <c r="B85" s="25" t="s">
        <v>58</v>
      </c>
      <c r="C85" s="56">
        <v>220</v>
      </c>
      <c r="D85" s="21">
        <v>52.57</v>
      </c>
      <c r="E85" s="63">
        <v>14.5</v>
      </c>
      <c r="F85" s="63">
        <f>18.8-2.96</f>
        <v>15.84</v>
      </c>
      <c r="G85" s="63">
        <v>42.87</v>
      </c>
      <c r="H85" s="63">
        <v>372.04</v>
      </c>
    </row>
    <row r="86" spans="1:10" customHeight="1" ht="18" s="8" customFormat="1">
      <c r="A86" s="45">
        <v>300</v>
      </c>
      <c r="B86" s="25" t="s">
        <v>40</v>
      </c>
      <c r="C86" s="51">
        <v>200</v>
      </c>
      <c r="D86" s="21">
        <v>7.09</v>
      </c>
      <c r="E86" s="22">
        <v>0.2</v>
      </c>
      <c r="F86" s="22">
        <v>0.1</v>
      </c>
      <c r="G86" s="22">
        <v>17.2</v>
      </c>
      <c r="H86" s="13">
        <v>70</v>
      </c>
    </row>
    <row r="87" spans="1:10" customHeight="1" ht="18" s="8" customFormat="1">
      <c r="A87" s="48" t="s">
        <v>27</v>
      </c>
      <c r="B87" s="4" t="s">
        <v>28</v>
      </c>
      <c r="C87" s="59">
        <v>30</v>
      </c>
      <c r="D87" s="21">
        <v>2.76</v>
      </c>
      <c r="E87" s="2">
        <f>6.6/100*30</f>
        <v>1.98</v>
      </c>
      <c r="F87" s="52">
        <f>1.2/100*30</f>
        <v>0.36</v>
      </c>
      <c r="G87" s="2">
        <f>33.4/100*30</f>
        <v>10.02</v>
      </c>
      <c r="H87" s="2">
        <v>51.24</v>
      </c>
    </row>
    <row r="88" spans="1:10" customHeight="1" ht="18">
      <c r="A88" s="47"/>
      <c r="B88" s="9" t="s">
        <v>20</v>
      </c>
      <c r="C88" s="50">
        <f>SUM(C84:C87)</f>
        <v>700</v>
      </c>
      <c r="D88" s="35">
        <f>SUM(D84:D87)</f>
        <v>74.17</v>
      </c>
      <c r="E88" s="5">
        <f>SUM(E84:E87)</f>
        <v>23.98</v>
      </c>
      <c r="F88" s="5">
        <f>SUM(F84:F87)</f>
        <v>23.7</v>
      </c>
      <c r="G88" s="5">
        <f>SUM(G84:G87)</f>
        <v>97.89</v>
      </c>
      <c r="H88" s="5">
        <f>SUM(H84:H87)</f>
        <v>700.28</v>
      </c>
    </row>
    <row r="89" spans="1:10" customHeight="1" ht="18">
      <c r="A89" s="47"/>
      <c r="B89" s="3" t="s">
        <v>30</v>
      </c>
      <c r="C89" s="50"/>
      <c r="D89" s="35"/>
      <c r="E89" s="6">
        <f>E82+E88</f>
        <v>39.425</v>
      </c>
      <c r="F89" s="6">
        <f>F82+F88</f>
        <v>40.07</v>
      </c>
      <c r="G89" s="6">
        <f>G82+G88</f>
        <v>177.2</v>
      </c>
      <c r="H89" s="6">
        <f>H82+H88</f>
        <v>1177.98</v>
      </c>
    </row>
    <row r="90" spans="1:10" customHeight="1" ht="18">
      <c r="A90" s="237" t="s">
        <v>59</v>
      </c>
      <c r="B90" s="238"/>
      <c r="C90" s="53"/>
      <c r="D90" s="23"/>
      <c r="E90" s="72"/>
      <c r="F90" s="72"/>
      <c r="G90" s="72"/>
      <c r="H90" s="72"/>
    </row>
    <row r="91" spans="1:10" customHeight="1" ht="18">
      <c r="A91" s="240" t="s">
        <v>42</v>
      </c>
      <c r="B91" s="240"/>
      <c r="C91" s="44"/>
      <c r="D91" s="36"/>
      <c r="E91" s="115"/>
      <c r="F91" s="115"/>
      <c r="G91" s="115"/>
      <c r="H91" s="115"/>
    </row>
    <row r="92" spans="1:10" customHeight="1" ht="18">
      <c r="A92" s="45">
        <v>208</v>
      </c>
      <c r="B92" s="4" t="s">
        <v>60</v>
      </c>
      <c r="C92" s="51">
        <v>200</v>
      </c>
      <c r="D92" s="41">
        <v>37.09</v>
      </c>
      <c r="E92" s="17">
        <f>8.2716049382716+1.86+2</f>
        <v>12.131604938272</v>
      </c>
      <c r="F92" s="17">
        <f>13.744938271605</f>
        <v>13.744938271605</v>
      </c>
      <c r="G92" s="17">
        <f>40.246913580247-2.64-16</f>
        <v>21.606913580247</v>
      </c>
      <c r="H92" s="73">
        <v>258.66</v>
      </c>
    </row>
    <row r="93" spans="1:10" customHeight="1" ht="18">
      <c r="A93" s="48" t="s">
        <v>29</v>
      </c>
      <c r="B93" s="4" t="s">
        <v>14</v>
      </c>
      <c r="C93" s="51">
        <v>30</v>
      </c>
      <c r="D93" s="21">
        <v>3.12</v>
      </c>
      <c r="E93" s="4">
        <f>7.9/100*30</f>
        <v>2.37</v>
      </c>
      <c r="F93" s="4">
        <f>1/100*30</f>
        <v>0.3</v>
      </c>
      <c r="G93" s="4">
        <f>48.3/100*30</f>
        <v>14.49</v>
      </c>
      <c r="H93" s="4">
        <v>70.14</v>
      </c>
    </row>
    <row r="94" spans="1:10" customHeight="1" ht="15.75">
      <c r="A94" s="45" t="s">
        <v>18</v>
      </c>
      <c r="B94" s="27" t="s">
        <v>35</v>
      </c>
      <c r="C94" s="30">
        <v>30</v>
      </c>
      <c r="D94" s="41">
        <v>13.63</v>
      </c>
      <c r="E94" s="17">
        <v>0.96</v>
      </c>
      <c r="F94" s="17">
        <v>3.25</v>
      </c>
      <c r="G94" s="17">
        <v>6.085</v>
      </c>
      <c r="H94" s="17">
        <v>57.43</v>
      </c>
    </row>
    <row r="95" spans="1:10" customHeight="1" ht="15.75">
      <c r="A95" s="45">
        <v>300</v>
      </c>
      <c r="B95" s="25" t="s">
        <v>61</v>
      </c>
      <c r="C95" s="51">
        <v>200</v>
      </c>
      <c r="D95" s="21">
        <v>3.52</v>
      </c>
      <c r="E95" s="4">
        <v>0.1</v>
      </c>
      <c r="F95" s="4">
        <v>0.0</v>
      </c>
      <c r="G95" s="4">
        <v>20.2</v>
      </c>
      <c r="H95" s="4">
        <v>81.2</v>
      </c>
    </row>
    <row r="96" spans="1:10" customHeight="1" ht="18">
      <c r="A96" s="45" t="s">
        <v>18</v>
      </c>
      <c r="B96" s="14" t="s">
        <v>34</v>
      </c>
      <c r="C96" s="30">
        <v>100</v>
      </c>
      <c r="D96" s="41">
        <f>13.952307692308+5.98-3.12</f>
        <v>16.812307692308</v>
      </c>
      <c r="E96" s="17">
        <v>0.84115384615385</v>
      </c>
      <c r="F96" s="17">
        <v>0.18692307692308</v>
      </c>
      <c r="G96" s="17">
        <v>2.1426923076923</v>
      </c>
      <c r="H96" s="17">
        <v>13.62</v>
      </c>
    </row>
    <row r="97" spans="1:10" customHeight="1" ht="18">
      <c r="A97" s="45"/>
      <c r="B97" s="9" t="s">
        <v>20</v>
      </c>
      <c r="C97" s="50">
        <f>SUM(C92:C96)</f>
        <v>560</v>
      </c>
      <c r="D97" s="35">
        <f>SUM(D92:D96)</f>
        <v>74.172307692308</v>
      </c>
      <c r="E97" s="35">
        <f>SUM(E92:E96)</f>
        <v>16.402758784425</v>
      </c>
      <c r="F97" s="35">
        <f>SUM(F92:F96)</f>
        <v>17.481861348528</v>
      </c>
      <c r="G97" s="35">
        <f>SUM(G92:G96)</f>
        <v>64.524605887939</v>
      </c>
      <c r="H97" s="35">
        <f>SUM(H92:H96)</f>
        <v>481.05</v>
      </c>
    </row>
    <row r="98" spans="1:10" customHeight="1" ht="18">
      <c r="A98" s="235" t="s">
        <v>21</v>
      </c>
      <c r="B98" s="236"/>
      <c r="C98" s="34"/>
      <c r="D98" s="36"/>
      <c r="E98" s="18"/>
      <c r="F98" s="18"/>
      <c r="G98" s="18"/>
      <c r="H98" s="18"/>
    </row>
    <row r="99" spans="1:10" customHeight="1" ht="18">
      <c r="A99" s="45">
        <v>62</v>
      </c>
      <c r="B99" s="87" t="s">
        <v>62</v>
      </c>
      <c r="C99" s="58">
        <v>220</v>
      </c>
      <c r="D99" s="41">
        <v>14.025</v>
      </c>
      <c r="E99" s="16">
        <v>6.38</v>
      </c>
      <c r="F99" s="16">
        <v>4.73</v>
      </c>
      <c r="G99" s="16">
        <v>30.58</v>
      </c>
      <c r="H99" s="16">
        <v>190.41</v>
      </c>
    </row>
    <row r="100" spans="1:10" customHeight="1" ht="18">
      <c r="A100" s="45">
        <v>107</v>
      </c>
      <c r="B100" s="93" t="s">
        <v>63</v>
      </c>
      <c r="C100" s="60">
        <v>90</v>
      </c>
      <c r="D100" s="21">
        <f>36.51+3.12+2.22</f>
        <v>41.85</v>
      </c>
      <c r="E100" s="22">
        <f>8.82+3</f>
        <v>11.82</v>
      </c>
      <c r="F100" s="22">
        <v>5.05</v>
      </c>
      <c r="G100" s="22">
        <v>20.78</v>
      </c>
      <c r="H100" s="22">
        <v>216.76</v>
      </c>
    </row>
    <row r="101" spans="1:10" customHeight="1" ht="18" s="8" customFormat="1">
      <c r="A101" s="45">
        <v>227</v>
      </c>
      <c r="B101" s="1" t="s">
        <v>52</v>
      </c>
      <c r="C101" s="57">
        <v>150</v>
      </c>
      <c r="D101" s="41">
        <v>9.49</v>
      </c>
      <c r="E101" s="31">
        <v>7.1253333333333</v>
      </c>
      <c r="F101" s="31">
        <v>7.69</v>
      </c>
      <c r="G101" s="31">
        <v>21.408</v>
      </c>
      <c r="H101" s="31">
        <v>183.34</v>
      </c>
    </row>
    <row r="102" spans="1:10" customHeight="1" ht="18">
      <c r="A102" s="45">
        <v>311</v>
      </c>
      <c r="B102" s="13" t="s">
        <v>64</v>
      </c>
      <c r="C102" s="30">
        <v>200</v>
      </c>
      <c r="D102" s="21">
        <f>5.73+0.31</f>
        <v>6.04</v>
      </c>
      <c r="E102" s="22">
        <v>0.2</v>
      </c>
      <c r="F102" s="22">
        <v>0.1</v>
      </c>
      <c r="G102" s="22">
        <v>17.2</v>
      </c>
      <c r="H102" s="13">
        <v>70</v>
      </c>
    </row>
    <row r="103" spans="1:10" customHeight="1" ht="18">
      <c r="A103" s="48" t="s">
        <v>27</v>
      </c>
      <c r="B103" s="76" t="s">
        <v>28</v>
      </c>
      <c r="C103" s="51">
        <v>40</v>
      </c>
      <c r="D103" s="21">
        <v>2.76</v>
      </c>
      <c r="E103" s="2">
        <f>6.6/100*30</f>
        <v>1.98</v>
      </c>
      <c r="F103" s="52">
        <f>1.2/100*30</f>
        <v>0.36</v>
      </c>
      <c r="G103" s="2">
        <f>33.4/100*30</f>
        <v>10.02</v>
      </c>
      <c r="H103" s="2">
        <v>51.24</v>
      </c>
    </row>
    <row r="104" spans="1:10" customHeight="1" ht="18">
      <c r="A104" s="47"/>
      <c r="B104" s="9" t="s">
        <v>20</v>
      </c>
      <c r="C104" s="50">
        <f>SUM(C99:C103)</f>
        <v>700</v>
      </c>
      <c r="D104" s="35">
        <f>SUM(D99:D103)</f>
        <v>74.165</v>
      </c>
      <c r="E104" s="35">
        <f>SUM(E99:E103)</f>
        <v>27.505333333333</v>
      </c>
      <c r="F104" s="35">
        <f>SUM(F99:F103)</f>
        <v>17.93</v>
      </c>
      <c r="G104" s="35">
        <f>SUM(G99:G103)</f>
        <v>99.988</v>
      </c>
      <c r="H104" s="35">
        <f>SUM(H99:H103)</f>
        <v>711.75</v>
      </c>
    </row>
    <row r="105" spans="1:10" customHeight="1" ht="18">
      <c r="A105" s="47"/>
      <c r="B105" s="3" t="s">
        <v>30</v>
      </c>
      <c r="C105" s="50"/>
      <c r="D105" s="35"/>
      <c r="E105" s="35">
        <f>E97+E104</f>
        <v>43.908092117759</v>
      </c>
      <c r="F105" s="35">
        <f>F97+F104</f>
        <v>35.411861348528</v>
      </c>
      <c r="G105" s="35">
        <f>G97+G104</f>
        <v>164.51260588794</v>
      </c>
      <c r="H105" s="35">
        <f>H97+H104</f>
        <v>1192.8</v>
      </c>
    </row>
    <row r="106" spans="1:10" customHeight="1" ht="18">
      <c r="A106" s="237" t="s">
        <v>65</v>
      </c>
      <c r="B106" s="238"/>
      <c r="C106" s="53"/>
      <c r="D106" s="23"/>
      <c r="E106" s="23"/>
      <c r="F106" s="23"/>
      <c r="G106" s="23"/>
      <c r="H106" s="23"/>
    </row>
    <row r="107" spans="1:10" customHeight="1" ht="39.75">
      <c r="A107" s="240" t="s">
        <v>11</v>
      </c>
      <c r="B107" s="240"/>
      <c r="C107" s="44"/>
      <c r="D107" s="36"/>
      <c r="E107" s="18"/>
      <c r="F107" s="18"/>
      <c r="G107" s="18"/>
      <c r="H107" s="18"/>
    </row>
    <row r="108" spans="1:10" customHeight="1" ht="15.75">
      <c r="A108" s="45">
        <v>241</v>
      </c>
      <c r="B108" s="27" t="s">
        <v>66</v>
      </c>
      <c r="C108" s="51">
        <v>130</v>
      </c>
      <c r="D108" s="108">
        <f>37.6-0.35+0.02</f>
        <v>37.27</v>
      </c>
      <c r="E108" s="108">
        <v>11.6</v>
      </c>
      <c r="F108" s="108">
        <v>15.2</v>
      </c>
      <c r="G108" s="108">
        <f>7.2+25.47-8.4</f>
        <v>24.27</v>
      </c>
      <c r="H108" s="108">
        <v>280.28</v>
      </c>
    </row>
    <row r="109" spans="1:10" customHeight="1" ht="18">
      <c r="A109" s="45" t="s">
        <v>18</v>
      </c>
      <c r="B109" s="14" t="s">
        <v>67</v>
      </c>
      <c r="C109" s="30">
        <v>50</v>
      </c>
      <c r="D109" s="41">
        <f>9.95</f>
        <v>9.95</v>
      </c>
      <c r="E109" s="17">
        <v>1.62</v>
      </c>
      <c r="F109" s="17">
        <v>1.58</v>
      </c>
      <c r="G109" s="17">
        <v>19.17</v>
      </c>
      <c r="H109" s="17">
        <v>97.43</v>
      </c>
    </row>
    <row r="110" spans="1:10" customHeight="1" ht="18">
      <c r="A110" s="45">
        <v>300</v>
      </c>
      <c r="B110" s="25" t="s">
        <v>33</v>
      </c>
      <c r="C110" s="51">
        <v>200</v>
      </c>
      <c r="D110" s="109">
        <v>3.52</v>
      </c>
      <c r="E110" s="108">
        <v>0.1</v>
      </c>
      <c r="F110" s="108">
        <v>0.0</v>
      </c>
      <c r="G110" s="108">
        <v>20.2</v>
      </c>
      <c r="H110" s="108">
        <v>81.2</v>
      </c>
    </row>
    <row r="111" spans="1:10" customHeight="1" ht="18">
      <c r="A111" s="45" t="s">
        <v>18</v>
      </c>
      <c r="B111" s="14" t="s">
        <v>34</v>
      </c>
      <c r="C111" s="30">
        <v>120</v>
      </c>
      <c r="D111" s="108">
        <f>30.23/130*110-2.15</f>
        <v>23.429230769231</v>
      </c>
      <c r="E111" s="108">
        <v>1.5421153846154</v>
      </c>
      <c r="F111" s="108">
        <v>0.34269230769231</v>
      </c>
      <c r="G111" s="108">
        <v>3.9282692307692</v>
      </c>
      <c r="H111" s="108">
        <v>24.97</v>
      </c>
    </row>
    <row r="112" spans="1:10" customHeight="1" ht="18">
      <c r="A112" s="47"/>
      <c r="B112" s="9" t="s">
        <v>20</v>
      </c>
      <c r="C112" s="50">
        <f>SUM(C108:C111)</f>
        <v>500</v>
      </c>
      <c r="D112" s="35">
        <f>SUM(D108:D111)</f>
        <v>74.169230769231</v>
      </c>
      <c r="E112" s="35">
        <f>SUM(E108:E111)</f>
        <v>14.862115384615</v>
      </c>
      <c r="F112" s="35">
        <f>SUM(F108:F111)</f>
        <v>17.122692307692</v>
      </c>
      <c r="G112" s="35">
        <f>SUM(G108:G111)</f>
        <v>67.568269230769</v>
      </c>
      <c r="H112" s="35">
        <f>SUM(H108:H111)</f>
        <v>483.88</v>
      </c>
    </row>
    <row r="113" spans="1:10" customHeight="1" ht="18">
      <c r="A113" s="236" t="s">
        <v>21</v>
      </c>
      <c r="B113" s="236"/>
      <c r="C113" s="34"/>
      <c r="D113" s="36"/>
      <c r="E113" s="18"/>
      <c r="F113" s="18"/>
      <c r="G113" s="18"/>
      <c r="H113" s="18"/>
    </row>
    <row r="114" spans="1:10" customHeight="1" ht="18">
      <c r="A114" s="45">
        <v>55</v>
      </c>
      <c r="B114" s="14" t="s">
        <v>50</v>
      </c>
      <c r="C114" s="57">
        <v>220</v>
      </c>
      <c r="D114" s="41">
        <v>16.25</v>
      </c>
      <c r="E114" s="14">
        <v>2</v>
      </c>
      <c r="F114" s="14">
        <v>9.4</v>
      </c>
      <c r="G114" s="14">
        <v>17.8</v>
      </c>
      <c r="H114" s="14">
        <v>163.8</v>
      </c>
    </row>
    <row r="115" spans="1:10" customHeight="1" ht="18" s="8" customFormat="1">
      <c r="A115" s="48" t="s">
        <v>68</v>
      </c>
      <c r="B115" s="1" t="s">
        <v>69</v>
      </c>
      <c r="C115" s="56">
        <v>90</v>
      </c>
      <c r="D115" s="21">
        <v>45.64</v>
      </c>
      <c r="E115" s="63">
        <v>8.8</v>
      </c>
      <c r="F115" s="31">
        <v>15.3</v>
      </c>
      <c r="G115" s="31">
        <v>16.1</v>
      </c>
      <c r="H115" s="31">
        <v>229.3</v>
      </c>
    </row>
    <row r="116" spans="1:10" customHeight="1" ht="18" s="8" customFormat="1">
      <c r="A116" s="45">
        <v>227</v>
      </c>
      <c r="B116" s="32" t="s">
        <v>70</v>
      </c>
      <c r="C116" s="60">
        <v>150</v>
      </c>
      <c r="D116" s="41">
        <v>6</v>
      </c>
      <c r="E116" s="31">
        <v>6.6666666666667</v>
      </c>
      <c r="F116" s="31">
        <v>5.8666666666667</v>
      </c>
      <c r="G116" s="31">
        <f>53.333333333333-28</f>
        <v>25.333333333333</v>
      </c>
      <c r="H116" s="31">
        <v>180.8</v>
      </c>
    </row>
    <row r="117" spans="1:10" customHeight="1" ht="18">
      <c r="A117" s="45">
        <v>300</v>
      </c>
      <c r="B117" s="25" t="s">
        <v>33</v>
      </c>
      <c r="C117" s="51">
        <v>200</v>
      </c>
      <c r="D117" s="109">
        <v>3.52</v>
      </c>
      <c r="E117" s="108">
        <v>0.1</v>
      </c>
      <c r="F117" s="108">
        <v>0.0</v>
      </c>
      <c r="G117" s="108">
        <v>20.2</v>
      </c>
      <c r="H117" s="108">
        <v>81.2</v>
      </c>
    </row>
    <row r="118" spans="1:10" customHeight="1" ht="18">
      <c r="A118" s="48" t="s">
        <v>27</v>
      </c>
      <c r="B118" s="4" t="s">
        <v>28</v>
      </c>
      <c r="C118" s="51">
        <v>40</v>
      </c>
      <c r="D118" s="21">
        <v>2.76</v>
      </c>
      <c r="E118" s="2">
        <f>6.6/100*30</f>
        <v>1.98</v>
      </c>
      <c r="F118" s="52">
        <f>1.2/100*30</f>
        <v>0.36</v>
      </c>
      <c r="G118" s="2">
        <f>33.4/100*30</f>
        <v>10.02</v>
      </c>
      <c r="H118" s="2">
        <v>51.24</v>
      </c>
    </row>
    <row r="119" spans="1:10" customHeight="1" ht="18">
      <c r="A119" s="47"/>
      <c r="B119" s="9" t="s">
        <v>20</v>
      </c>
      <c r="C119" s="50">
        <f>SUM(C114:C118)</f>
        <v>700</v>
      </c>
      <c r="D119" s="75">
        <f>SUM(D114:D118)</f>
        <v>74.17</v>
      </c>
      <c r="E119" s="110">
        <f>SUM(E114:E118)</f>
        <v>19.546666666667</v>
      </c>
      <c r="F119" s="110">
        <f>SUM(F114:F118)</f>
        <v>30.926666666667</v>
      </c>
      <c r="G119" s="110">
        <f>SUM(G114:G118)</f>
        <v>89.453333333333</v>
      </c>
      <c r="H119" s="110">
        <f>SUM(H114:H118)</f>
        <v>706.34</v>
      </c>
    </row>
    <row r="120" spans="1:10" customHeight="1" ht="18">
      <c r="A120" s="47"/>
      <c r="B120" s="3" t="s">
        <v>30</v>
      </c>
      <c r="C120" s="50"/>
      <c r="D120" s="35"/>
      <c r="E120" s="35">
        <f>E112+E119</f>
        <v>34.408782051282</v>
      </c>
      <c r="F120" s="35">
        <f>F112+F119</f>
        <v>48.049358974359</v>
      </c>
      <c r="G120" s="35">
        <f>G112+G119</f>
        <v>157.0216025641</v>
      </c>
      <c r="H120" s="35">
        <f>H112+H119</f>
        <v>1190.22</v>
      </c>
    </row>
    <row r="121" spans="1:10" customHeight="1" ht="18">
      <c r="A121" s="237" t="s">
        <v>71</v>
      </c>
      <c r="B121" s="238"/>
      <c r="C121" s="53"/>
      <c r="D121" s="23"/>
      <c r="E121" s="23"/>
      <c r="F121" s="23"/>
      <c r="G121" s="23"/>
      <c r="H121" s="23"/>
    </row>
    <row r="122" spans="1:10" customHeight="1" ht="18">
      <c r="A122" s="240" t="s">
        <v>42</v>
      </c>
      <c r="B122" s="240"/>
      <c r="C122" s="44"/>
      <c r="D122" s="36"/>
      <c r="E122" s="10"/>
      <c r="F122" s="10"/>
      <c r="G122" s="10"/>
      <c r="H122" s="18"/>
    </row>
    <row r="123" spans="1:10" customHeight="1" ht="18" s="8" customFormat="1">
      <c r="A123" s="45">
        <v>110</v>
      </c>
      <c r="B123" s="93" t="s">
        <v>72</v>
      </c>
      <c r="C123" s="56">
        <v>90</v>
      </c>
      <c r="D123" s="21">
        <f>49.46+0.02+2</f>
        <v>51.48</v>
      </c>
      <c r="E123" s="31">
        <v>7.6666666666667</v>
      </c>
      <c r="F123" s="31">
        <f>11.222222222222-1.59</f>
        <v>9.632222222222</v>
      </c>
      <c r="G123" s="31">
        <f>9.6666666666667-2.69</f>
        <v>6.9766666666667</v>
      </c>
      <c r="H123" s="31">
        <v>145.26</v>
      </c>
    </row>
    <row r="124" spans="1:10" customHeight="1" ht="18">
      <c r="A124" s="45">
        <v>227</v>
      </c>
      <c r="B124" s="25" t="s">
        <v>56</v>
      </c>
      <c r="C124" s="56">
        <v>180</v>
      </c>
      <c r="D124" s="41">
        <v>16.05</v>
      </c>
      <c r="E124" s="31">
        <v>6.6666666666667</v>
      </c>
      <c r="F124" s="31">
        <v>5.8666666666667</v>
      </c>
      <c r="G124" s="31">
        <f>53.333333333333-28</f>
        <v>25.333333333333</v>
      </c>
      <c r="H124" s="31">
        <v>180.8</v>
      </c>
    </row>
    <row r="125" spans="1:10" customHeight="1" ht="18">
      <c r="A125" s="45">
        <v>300</v>
      </c>
      <c r="B125" s="25" t="s">
        <v>33</v>
      </c>
      <c r="C125" s="51">
        <v>200</v>
      </c>
      <c r="D125" s="21">
        <v>3.52</v>
      </c>
      <c r="E125" s="4">
        <v>0.1</v>
      </c>
      <c r="F125" s="4">
        <v>0.0</v>
      </c>
      <c r="G125" s="4">
        <v>20.2</v>
      </c>
      <c r="H125" s="4">
        <v>81.2</v>
      </c>
    </row>
    <row r="126" spans="1:10" customHeight="1" ht="18">
      <c r="A126" s="48" t="s">
        <v>29</v>
      </c>
      <c r="B126" s="4" t="s">
        <v>14</v>
      </c>
      <c r="C126" s="51">
        <v>30</v>
      </c>
      <c r="D126" s="21">
        <v>3.12</v>
      </c>
      <c r="E126" s="4">
        <f>7.9/100*30</f>
        <v>2.37</v>
      </c>
      <c r="F126" s="4">
        <f>1/100*30</f>
        <v>0.3</v>
      </c>
      <c r="G126" s="4">
        <f>48.3/100*30</f>
        <v>14.49</v>
      </c>
      <c r="H126" s="4">
        <v>70.14</v>
      </c>
    </row>
    <row r="127" spans="1:10" customHeight="1" ht="18">
      <c r="A127" s="47"/>
      <c r="B127" s="9" t="s">
        <v>20</v>
      </c>
      <c r="C127" s="50">
        <f>SUM(C123:C126)</f>
        <v>500</v>
      </c>
      <c r="D127" s="6">
        <f>SUM(D123:D126)</f>
        <v>74.17</v>
      </c>
      <c r="E127" s="5">
        <f>SUM(E123:E126)</f>
        <v>16.803333333333</v>
      </c>
      <c r="F127" s="5">
        <f>SUM(F123:F126)</f>
        <v>15.798888888889</v>
      </c>
      <c r="G127" s="5">
        <f>SUM(G123:G126)</f>
        <v>67</v>
      </c>
      <c r="H127" s="5">
        <f>SUM(H123:H126)</f>
        <v>477.4</v>
      </c>
    </row>
    <row r="128" spans="1:10" customHeight="1" ht="18">
      <c r="A128" s="235" t="s">
        <v>21</v>
      </c>
      <c r="B128" s="236"/>
      <c r="C128" s="54"/>
      <c r="D128" s="36"/>
      <c r="E128" s="18"/>
      <c r="F128" s="18"/>
      <c r="G128" s="18"/>
      <c r="H128" s="18"/>
    </row>
    <row r="129" spans="1:10" customHeight="1" ht="33.75">
      <c r="A129" s="111">
        <v>56</v>
      </c>
      <c r="B129" s="87" t="s">
        <v>73</v>
      </c>
      <c r="C129" s="112">
        <v>210</v>
      </c>
      <c r="D129" s="38">
        <f>17.88-5.63</f>
        <v>12.25</v>
      </c>
      <c r="E129" s="25">
        <v>2.4</v>
      </c>
      <c r="F129" s="25">
        <v>8</v>
      </c>
      <c r="G129" s="25">
        <v>18.5</v>
      </c>
      <c r="H129" s="25">
        <v>155.6</v>
      </c>
    </row>
    <row r="130" spans="1:10" customHeight="1" ht="18" s="8" customFormat="1">
      <c r="A130" s="45">
        <v>96</v>
      </c>
      <c r="B130" s="25" t="s">
        <v>74</v>
      </c>
      <c r="C130" s="57">
        <v>60</v>
      </c>
      <c r="D130" s="21">
        <v>7.2</v>
      </c>
      <c r="E130" s="16">
        <v>4.02</v>
      </c>
      <c r="F130" s="16">
        <v>4.34</v>
      </c>
      <c r="G130" s="16">
        <v>15.1</v>
      </c>
      <c r="H130" s="16">
        <v>122.54</v>
      </c>
    </row>
    <row r="131" spans="1:10" customHeight="1" ht="18" s="8" customFormat="1">
      <c r="A131" s="45">
        <v>158</v>
      </c>
      <c r="B131" s="13" t="s">
        <v>37</v>
      </c>
      <c r="C131" s="57">
        <v>220</v>
      </c>
      <c r="D131" s="41">
        <v>41.11</v>
      </c>
      <c r="E131" s="14">
        <v>12.65</v>
      </c>
      <c r="F131" s="19">
        <f>13.2/180*220</f>
        <v>16.133333333333</v>
      </c>
      <c r="G131" s="19">
        <v>15.06</v>
      </c>
      <c r="H131" s="15">
        <v>256.04</v>
      </c>
    </row>
    <row r="132" spans="1:10" customHeight="1" ht="18">
      <c r="A132" s="45">
        <v>300</v>
      </c>
      <c r="B132" s="76" t="s">
        <v>26</v>
      </c>
      <c r="C132" s="51">
        <v>200</v>
      </c>
      <c r="D132" s="21">
        <v>7.73</v>
      </c>
      <c r="E132" s="4">
        <v>0.1</v>
      </c>
      <c r="F132" s="4">
        <v>0.0</v>
      </c>
      <c r="G132" s="4">
        <v>20.2</v>
      </c>
      <c r="H132" s="4">
        <v>81.2</v>
      </c>
    </row>
    <row r="133" spans="1:10" customHeight="1" ht="18">
      <c r="A133" s="48" t="s">
        <v>27</v>
      </c>
      <c r="B133" s="4" t="s">
        <v>28</v>
      </c>
      <c r="C133" s="51">
        <v>30</v>
      </c>
      <c r="D133" s="21">
        <v>2.76</v>
      </c>
      <c r="E133" s="2">
        <f>6.6/100*30</f>
        <v>1.98</v>
      </c>
      <c r="F133" s="52">
        <f>1.2/100*30</f>
        <v>0.36</v>
      </c>
      <c r="G133" s="2">
        <f>33.4/100*30</f>
        <v>10.02</v>
      </c>
      <c r="H133" s="2">
        <v>51.24</v>
      </c>
    </row>
    <row r="134" spans="1:10" customHeight="1" ht="18">
      <c r="A134" s="48" t="s">
        <v>29</v>
      </c>
      <c r="B134" s="4" t="s">
        <v>14</v>
      </c>
      <c r="C134" s="51">
        <v>30</v>
      </c>
      <c r="D134" s="21">
        <v>3.12</v>
      </c>
      <c r="E134" s="4">
        <f>7.9/100*30</f>
        <v>2.37</v>
      </c>
      <c r="F134" s="4">
        <f>1/100*30</f>
        <v>0.3</v>
      </c>
      <c r="G134" s="4">
        <f>48.3/100*30</f>
        <v>14.49</v>
      </c>
      <c r="H134" s="4">
        <v>70.14</v>
      </c>
    </row>
    <row r="135" spans="1:10" customHeight="1" ht="18">
      <c r="A135" s="47"/>
      <c r="B135" s="9" t="s">
        <v>20</v>
      </c>
      <c r="C135" s="50">
        <f>SUM(C129:C134)</f>
        <v>750</v>
      </c>
      <c r="D135" s="75">
        <f>SUM(D129:D134)</f>
        <v>74.17</v>
      </c>
      <c r="E135" s="75">
        <f>SUM(E129:E134)</f>
        <v>23.52</v>
      </c>
      <c r="F135" s="75">
        <f>SUM(F129:F134)</f>
        <v>29.133333333333</v>
      </c>
      <c r="G135" s="75">
        <f>SUM(G129:G134)</f>
        <v>93.37</v>
      </c>
      <c r="H135" s="75">
        <f>SUM(H129:H134)</f>
        <v>736.76</v>
      </c>
    </row>
    <row r="136" spans="1:10" customHeight="1" ht="18">
      <c r="A136" s="47"/>
      <c r="B136" s="3" t="s">
        <v>30</v>
      </c>
      <c r="C136" s="50"/>
      <c r="D136" s="35"/>
      <c r="E136" s="6">
        <f>E127+E135</f>
        <v>40.323333333333</v>
      </c>
      <c r="F136" s="6">
        <f>F127+F135</f>
        <v>44.932222222222</v>
      </c>
      <c r="G136" s="6">
        <f>G127+G135</f>
        <v>160.37</v>
      </c>
      <c r="H136" s="6">
        <f>H127+H135</f>
        <v>1214.16</v>
      </c>
    </row>
    <row r="137" spans="1:10" customHeight="1" ht="18">
      <c r="A137" s="235" t="s">
        <v>75</v>
      </c>
      <c r="B137" s="236"/>
      <c r="C137" s="34"/>
      <c r="D137" s="33"/>
      <c r="E137" s="23"/>
      <c r="F137" s="23"/>
      <c r="G137" s="23"/>
      <c r="H137" s="33"/>
    </row>
    <row r="138" spans="1:10" customHeight="1" ht="18">
      <c r="A138" s="235" t="s">
        <v>42</v>
      </c>
      <c r="B138" s="236"/>
      <c r="C138" s="54"/>
      <c r="D138" s="35"/>
      <c r="E138" s="3"/>
      <c r="F138" s="3"/>
      <c r="G138" s="3"/>
      <c r="H138" s="3"/>
    </row>
    <row r="139" spans="1:10" customHeight="1" ht="18">
      <c r="A139" s="45">
        <v>258</v>
      </c>
      <c r="B139" s="4" t="s">
        <v>76</v>
      </c>
      <c r="C139" s="51">
        <v>150</v>
      </c>
      <c r="D139" s="41">
        <f>29.8+7.65</f>
        <v>37.45</v>
      </c>
      <c r="E139" s="17">
        <v>10.75</v>
      </c>
      <c r="F139" s="17">
        <v>9.4</v>
      </c>
      <c r="G139" s="17">
        <v>27.5</v>
      </c>
      <c r="H139" s="73">
        <v>268.43</v>
      </c>
    </row>
    <row r="140" spans="1:10" customHeight="1" ht="18">
      <c r="A140" s="45" t="s">
        <v>18</v>
      </c>
      <c r="B140" s="25" t="s">
        <v>77</v>
      </c>
      <c r="C140" s="51">
        <v>100</v>
      </c>
      <c r="D140" s="21">
        <v>23.25</v>
      </c>
      <c r="E140" s="17">
        <v>1.4019230769231</v>
      </c>
      <c r="F140" s="17">
        <v>0.31153846153846</v>
      </c>
      <c r="G140" s="17">
        <v>3.5711538461538</v>
      </c>
      <c r="H140" s="17">
        <v>22.7</v>
      </c>
    </row>
    <row r="141" spans="1:10" customHeight="1" ht="18" s="8" customFormat="1">
      <c r="A141" s="92" t="s">
        <v>18</v>
      </c>
      <c r="B141" s="14" t="s">
        <v>35</v>
      </c>
      <c r="C141" s="30">
        <v>50</v>
      </c>
      <c r="D141" s="41">
        <f>9.95</f>
        <v>9.95</v>
      </c>
      <c r="E141" s="17">
        <v>1.62</v>
      </c>
      <c r="F141" s="17">
        <v>1.58</v>
      </c>
      <c r="G141" s="17">
        <v>19.17</v>
      </c>
      <c r="H141" s="17">
        <v>97.43</v>
      </c>
    </row>
    <row r="142" spans="1:10" customHeight="1" ht="18">
      <c r="A142" s="45">
        <v>300</v>
      </c>
      <c r="B142" s="25" t="s">
        <v>33</v>
      </c>
      <c r="C142" s="51">
        <v>200</v>
      </c>
      <c r="D142" s="21">
        <v>3.52</v>
      </c>
      <c r="E142" s="4">
        <v>0.1</v>
      </c>
      <c r="F142" s="4">
        <v>0.0</v>
      </c>
      <c r="G142" s="4">
        <v>20.2</v>
      </c>
      <c r="H142" s="4">
        <v>81.2</v>
      </c>
    </row>
    <row r="143" spans="1:10" customHeight="1" ht="18">
      <c r="A143" s="47"/>
      <c r="B143" s="9" t="s">
        <v>20</v>
      </c>
      <c r="C143" s="50">
        <f>SUM(C139:C142)</f>
        <v>500</v>
      </c>
      <c r="D143" s="35">
        <f>SUM(D139:D142)</f>
        <v>74.17</v>
      </c>
      <c r="E143" s="35">
        <f>SUM(E139:E142)</f>
        <v>13.871923076923</v>
      </c>
      <c r="F143" s="35">
        <f>SUM(F139:F142)</f>
        <v>11.291538461538</v>
      </c>
      <c r="G143" s="35">
        <f>SUM(G139:G142)</f>
        <v>70.441153846154</v>
      </c>
      <c r="H143" s="35">
        <f>SUM(H139:H142)</f>
        <v>469.76</v>
      </c>
    </row>
    <row r="144" spans="1:10" customHeight="1" ht="18">
      <c r="A144" s="49"/>
      <c r="B144" s="28"/>
      <c r="C144" s="61"/>
      <c r="D144" s="36"/>
      <c r="E144" s="10"/>
      <c r="F144" s="10"/>
      <c r="G144" s="10"/>
      <c r="H144" s="10"/>
    </row>
    <row r="145" spans="1:10" customHeight="1" ht="18">
      <c r="A145" s="240" t="s">
        <v>21</v>
      </c>
      <c r="B145" s="240"/>
      <c r="C145" s="44"/>
      <c r="D145" s="36"/>
      <c r="E145" s="18"/>
      <c r="F145" s="18"/>
      <c r="G145" s="18"/>
      <c r="H145" s="18"/>
    </row>
    <row r="146" spans="1:10" customHeight="1" ht="18">
      <c r="A146" s="45">
        <v>55</v>
      </c>
      <c r="B146" s="20" t="s">
        <v>45</v>
      </c>
      <c r="C146" s="62">
        <v>200</v>
      </c>
      <c r="D146" s="38">
        <v>12.75</v>
      </c>
      <c r="E146" s="19">
        <v>8.25</v>
      </c>
      <c r="F146" s="19">
        <v>9.7</v>
      </c>
      <c r="G146" s="19">
        <v>31.8</v>
      </c>
      <c r="H146" s="19">
        <v>247.5</v>
      </c>
    </row>
    <row r="147" spans="1:10" customHeight="1" ht="18">
      <c r="A147" s="92">
        <v>108</v>
      </c>
      <c r="B147" s="93" t="s">
        <v>78</v>
      </c>
      <c r="C147" s="60">
        <v>90</v>
      </c>
      <c r="D147" s="21">
        <f>44.15-5.55+0.48+2.45-10.27+7.38+1.32</f>
        <v>39.96</v>
      </c>
      <c r="E147" s="31">
        <v>6.9</v>
      </c>
      <c r="F147" s="31">
        <v>3.5</v>
      </c>
      <c r="G147" s="31">
        <v>20.7</v>
      </c>
      <c r="H147" s="31">
        <v>129.9</v>
      </c>
    </row>
    <row r="148" spans="1:10" customHeight="1" ht="18">
      <c r="A148" s="48" t="s">
        <v>24</v>
      </c>
      <c r="B148" s="94" t="s">
        <v>25</v>
      </c>
      <c r="C148" s="29">
        <v>180</v>
      </c>
      <c r="D148" s="21">
        <v>15.18</v>
      </c>
      <c r="E148" s="19">
        <f>12.72-6.81</f>
        <v>5.91</v>
      </c>
      <c r="F148" s="19">
        <v>8.16</v>
      </c>
      <c r="G148" s="19">
        <f>30.36-5.15</f>
        <v>25.21</v>
      </c>
      <c r="H148" s="19">
        <v>197.92</v>
      </c>
    </row>
    <row r="149" spans="1:10" customHeight="1" ht="18">
      <c r="A149" s="45">
        <v>300</v>
      </c>
      <c r="B149" s="25" t="s">
        <v>33</v>
      </c>
      <c r="C149" s="51">
        <v>200</v>
      </c>
      <c r="D149" s="21">
        <v>3.52</v>
      </c>
      <c r="E149" s="4">
        <v>0.1</v>
      </c>
      <c r="F149" s="4">
        <v>0.0</v>
      </c>
      <c r="G149" s="4">
        <v>20.2</v>
      </c>
      <c r="H149" s="4">
        <v>81.2</v>
      </c>
    </row>
    <row r="150" spans="1:10" customHeight="1" ht="18">
      <c r="A150" s="48" t="s">
        <v>27</v>
      </c>
      <c r="B150" s="4" t="s">
        <v>28</v>
      </c>
      <c r="C150" s="51">
        <v>30</v>
      </c>
      <c r="D150" s="21">
        <v>2.76</v>
      </c>
      <c r="E150" s="2">
        <f>6.6/100*30</f>
        <v>1.98</v>
      </c>
      <c r="F150" s="52">
        <f>1.2/100*30</f>
        <v>0.36</v>
      </c>
      <c r="G150" s="2">
        <f>33.4/100*30</f>
        <v>10.02</v>
      </c>
      <c r="H150" s="2">
        <v>51.24</v>
      </c>
    </row>
    <row r="151" spans="1:10" customHeight="1" ht="18">
      <c r="A151" s="45"/>
      <c r="B151" s="9" t="s">
        <v>20</v>
      </c>
      <c r="C151" s="50">
        <f>SUM(C146:C150)</f>
        <v>700</v>
      </c>
      <c r="D151" s="75">
        <f>SUM(D146:D150)</f>
        <v>74.17</v>
      </c>
      <c r="E151" s="75">
        <f>SUM(E146:E150)</f>
        <v>23.14</v>
      </c>
      <c r="F151" s="75">
        <f>SUM(F146:F150)</f>
        <v>21.72</v>
      </c>
      <c r="G151" s="75">
        <f>SUM(G146:G150)</f>
        <v>107.93</v>
      </c>
      <c r="H151" s="75">
        <f>SUM(H146:H150)</f>
        <v>707.76</v>
      </c>
    </row>
    <row r="152" spans="1:10" customHeight="1" ht="18">
      <c r="A152" s="45"/>
      <c r="B152" s="9"/>
      <c r="C152" s="50"/>
      <c r="D152" s="35"/>
      <c r="E152" s="5">
        <f>E143+E151</f>
        <v>37.011923076923</v>
      </c>
      <c r="F152" s="5">
        <f>F143+F151</f>
        <v>33.011538461538</v>
      </c>
      <c r="G152" s="5">
        <f>G143+G151</f>
        <v>178.37115384615</v>
      </c>
      <c r="H152" s="5">
        <f>H143+H151</f>
        <v>1177.52</v>
      </c>
    </row>
    <row r="153" spans="1:10" customHeight="1" ht="18">
      <c r="A153" s="237" t="s">
        <v>79</v>
      </c>
      <c r="B153" s="238"/>
      <c r="C153" s="53"/>
      <c r="D153" s="23"/>
      <c r="E153" s="23"/>
      <c r="F153" s="23"/>
      <c r="G153" s="23"/>
      <c r="H153" s="23"/>
    </row>
    <row r="154" spans="1:10" customHeight="1" ht="18">
      <c r="A154" s="240" t="s">
        <v>42</v>
      </c>
      <c r="B154" s="240"/>
      <c r="C154" s="44"/>
      <c r="D154" s="36"/>
      <c r="E154" s="18"/>
      <c r="F154" s="18"/>
      <c r="G154" s="18"/>
      <c r="H154" s="18"/>
    </row>
    <row r="155" spans="1:10" customHeight="1" ht="18">
      <c r="A155" s="92">
        <v>227</v>
      </c>
      <c r="B155" s="1" t="s">
        <v>52</v>
      </c>
      <c r="C155" s="57">
        <v>150</v>
      </c>
      <c r="D155" s="21">
        <v>9.49</v>
      </c>
      <c r="E155" s="31">
        <v>7.1253333333333</v>
      </c>
      <c r="F155" s="31">
        <v>7.69</v>
      </c>
      <c r="G155" s="31">
        <f>38.208-16.8</f>
        <v>21.408</v>
      </c>
      <c r="H155" s="31">
        <v>183.34</v>
      </c>
    </row>
    <row r="156" spans="1:10" customHeight="1" ht="18">
      <c r="A156" s="45">
        <v>136</v>
      </c>
      <c r="B156" s="25" t="s">
        <v>80</v>
      </c>
      <c r="C156" s="57">
        <v>100</v>
      </c>
      <c r="D156" s="41">
        <v>46.02</v>
      </c>
      <c r="E156" s="21">
        <v>4.5</v>
      </c>
      <c r="F156" s="21">
        <v>6.3</v>
      </c>
      <c r="G156" s="21">
        <v>7.9</v>
      </c>
      <c r="H156" s="21">
        <v>106.3</v>
      </c>
    </row>
    <row r="157" spans="1:10" customHeight="1" ht="18">
      <c r="A157" s="45">
        <v>300</v>
      </c>
      <c r="B157" s="25" t="s">
        <v>33</v>
      </c>
      <c r="C157" s="51">
        <v>200</v>
      </c>
      <c r="D157" s="21">
        <v>3.52</v>
      </c>
      <c r="E157" s="4">
        <v>0.1</v>
      </c>
      <c r="F157" s="4">
        <v>0.0</v>
      </c>
      <c r="G157" s="4">
        <v>20.2</v>
      </c>
      <c r="H157" s="4">
        <v>81.2</v>
      </c>
    </row>
    <row r="158" spans="1:10" customHeight="1" ht="18">
      <c r="A158" s="48" t="s">
        <v>38</v>
      </c>
      <c r="B158" s="2" t="s">
        <v>35</v>
      </c>
      <c r="C158" s="29">
        <v>20</v>
      </c>
      <c r="D158" s="21">
        <v>12.02</v>
      </c>
      <c r="E158" s="16">
        <v>1.8</v>
      </c>
      <c r="F158" s="16">
        <v>3</v>
      </c>
      <c r="G158" s="16">
        <v>2</v>
      </c>
      <c r="H158" s="74">
        <v>42.2</v>
      </c>
    </row>
    <row r="159" spans="1:10" customHeight="1" ht="18">
      <c r="A159" s="48" t="s">
        <v>29</v>
      </c>
      <c r="B159" s="4" t="s">
        <v>14</v>
      </c>
      <c r="C159" s="51">
        <v>30</v>
      </c>
      <c r="D159" s="21">
        <v>3.12</v>
      </c>
      <c r="E159" s="4">
        <f>7.9/100*30</f>
        <v>2.37</v>
      </c>
      <c r="F159" s="4">
        <f>1/100*30</f>
        <v>0.3</v>
      </c>
      <c r="G159" s="4">
        <f>48.3/100*30</f>
        <v>14.49</v>
      </c>
      <c r="H159" s="4">
        <v>70.14</v>
      </c>
    </row>
    <row r="160" spans="1:10" customHeight="1" ht="18">
      <c r="A160" s="47"/>
      <c r="B160" s="9" t="s">
        <v>20</v>
      </c>
      <c r="C160" s="50">
        <f>SUM(C155:C159)</f>
        <v>500</v>
      </c>
      <c r="D160" s="6">
        <f>SUM(D155:D159)</f>
        <v>74.17</v>
      </c>
      <c r="E160" s="5">
        <f>SUM(E155:E159)</f>
        <v>15.895333333333</v>
      </c>
      <c r="F160" s="5">
        <f>SUM(F155:F159)</f>
        <v>17.29</v>
      </c>
      <c r="G160" s="5">
        <f>SUM(G155:G159)</f>
        <v>65.998</v>
      </c>
      <c r="H160" s="5">
        <f>SUM(H155:H159)</f>
        <v>483.18</v>
      </c>
    </row>
    <row r="161" spans="1:10" customHeight="1" ht="18">
      <c r="A161" s="235" t="s">
        <v>21</v>
      </c>
      <c r="B161" s="236"/>
      <c r="C161" s="54"/>
      <c r="D161" s="36"/>
      <c r="E161" s="18"/>
      <c r="F161" s="18"/>
      <c r="G161" s="18"/>
      <c r="H161" s="18"/>
    </row>
    <row r="162" spans="1:10" customHeight="1" ht="18">
      <c r="A162" s="45">
        <v>65</v>
      </c>
      <c r="B162" s="106" t="s">
        <v>57</v>
      </c>
      <c r="C162" s="56">
        <v>230</v>
      </c>
      <c r="D162" s="41">
        <v>10.81</v>
      </c>
      <c r="E162" s="13">
        <v>6.716</v>
      </c>
      <c r="F162" s="13">
        <v>6.808</v>
      </c>
      <c r="G162" s="13">
        <v>25.576</v>
      </c>
      <c r="H162" s="13">
        <v>190.44</v>
      </c>
    </row>
    <row r="163" spans="1:10" customHeight="1" ht="18">
      <c r="A163" s="92">
        <v>110</v>
      </c>
      <c r="B163" s="100" t="s">
        <v>81</v>
      </c>
      <c r="C163" s="29">
        <v>90</v>
      </c>
      <c r="D163" s="38">
        <f>40.96+8.12+2</f>
        <v>51.08</v>
      </c>
      <c r="E163" s="31">
        <v>6.9</v>
      </c>
      <c r="F163" s="31">
        <v>6.1</v>
      </c>
      <c r="G163" s="31">
        <v>28.7</v>
      </c>
      <c r="H163" s="31">
        <v>193.3</v>
      </c>
    </row>
    <row r="164" spans="1:10" customHeight="1" ht="18">
      <c r="A164" s="45">
        <v>227</v>
      </c>
      <c r="B164" s="32" t="s">
        <v>70</v>
      </c>
      <c r="C164" s="60">
        <v>150</v>
      </c>
      <c r="D164" s="41">
        <v>6</v>
      </c>
      <c r="E164" s="31">
        <v>6.6666666666667</v>
      </c>
      <c r="F164" s="31">
        <v>5.8666666666667</v>
      </c>
      <c r="G164" s="31">
        <f>53.333333333333-28</f>
        <v>25.333333333333</v>
      </c>
      <c r="H164" s="31">
        <v>180.8</v>
      </c>
    </row>
    <row r="165" spans="1:10" customHeight="1" ht="15.75">
      <c r="A165" s="45">
        <v>300</v>
      </c>
      <c r="B165" s="95" t="s">
        <v>33</v>
      </c>
      <c r="C165" s="51">
        <v>200</v>
      </c>
      <c r="D165" s="21">
        <v>3.52</v>
      </c>
      <c r="E165" s="4">
        <v>0.1</v>
      </c>
      <c r="F165" s="4">
        <v>0.0</v>
      </c>
      <c r="G165" s="4">
        <v>20.2</v>
      </c>
      <c r="H165" s="4">
        <v>81.2</v>
      </c>
    </row>
    <row r="166" spans="1:10" customHeight="1" ht="15.75">
      <c r="A166" s="48" t="s">
        <v>27</v>
      </c>
      <c r="B166" s="94" t="s">
        <v>28</v>
      </c>
      <c r="C166" s="51">
        <v>30</v>
      </c>
      <c r="D166" s="21">
        <v>2.76</v>
      </c>
      <c r="E166" s="2">
        <f>6.6/100*30</f>
        <v>1.98</v>
      </c>
      <c r="F166" s="52">
        <f>1.2/100*30</f>
        <v>0.36</v>
      </c>
      <c r="G166" s="2">
        <f>33.4/100*30</f>
        <v>10.02</v>
      </c>
      <c r="H166" s="2">
        <v>51.24</v>
      </c>
    </row>
    <row r="167" spans="1:10" customHeight="1" ht="15.75">
      <c r="A167" s="47"/>
      <c r="B167" s="9" t="s">
        <v>20</v>
      </c>
      <c r="C167" s="50">
        <f>SUM(C162:C166)</f>
        <v>700</v>
      </c>
      <c r="D167" s="75">
        <f>SUM(D162:D166)</f>
        <v>74.17</v>
      </c>
      <c r="E167" s="75">
        <f>SUM(E162:E166)</f>
        <v>22.362666666667</v>
      </c>
      <c r="F167" s="75">
        <f>SUM(F162:F166)</f>
        <v>19.134666666667</v>
      </c>
      <c r="G167" s="75">
        <f>SUM(G162:G166)</f>
        <v>109.82933333333</v>
      </c>
      <c r="H167" s="75">
        <f>SUM(H162:H166)</f>
        <v>696.98</v>
      </c>
    </row>
    <row r="168" spans="1:10" customHeight="1" ht="15.75">
      <c r="A168" s="47"/>
      <c r="B168" s="12" t="s">
        <v>30</v>
      </c>
      <c r="C168" s="50"/>
      <c r="D168" s="35"/>
      <c r="E168" s="6">
        <f>E160+E167</f>
        <v>38.258</v>
      </c>
      <c r="F168" s="6">
        <f>F160+F167</f>
        <v>36.424666666667</v>
      </c>
      <c r="G168" s="6">
        <f>G160+G167</f>
        <v>175.82733333333</v>
      </c>
      <c r="H168" s="6">
        <f>H160+H167</f>
        <v>1180.16</v>
      </c>
    </row>
    <row r="169" spans="1:10" customHeight="1" ht="15.75">
      <c r="A169" s="66"/>
      <c r="B169" s="245" t="s">
        <v>82</v>
      </c>
      <c r="C169" s="245"/>
      <c r="D169" s="6"/>
      <c r="E169" s="6">
        <f>E24+E42+E58+E74+E89+E105+E120+E136+E152+E168</f>
        <v>379.65007929725</v>
      </c>
      <c r="F169" s="6">
        <f>F24+F42+F58+F74+F89+F105+F120+F136+F152+F168</f>
        <v>378.44394491928</v>
      </c>
      <c r="G169" s="6">
        <f>G24+G42+G58+G74+G89+G105+G120+G136+G152+G168</f>
        <v>1681.0767117759</v>
      </c>
      <c r="H169" s="6">
        <f>H24+H42+H58+H74+H89+H105+H120+H136+H152+H168</f>
        <v>11649.533333333</v>
      </c>
    </row>
    <row r="170" spans="1:10" customHeight="1" ht="15.75">
      <c r="A170" s="66"/>
      <c r="B170" s="246" t="s">
        <v>83</v>
      </c>
      <c r="C170" s="246"/>
      <c r="D170" s="67"/>
      <c r="E170" s="6">
        <f>E169/10</f>
        <v>37.965007929725</v>
      </c>
      <c r="F170" s="6">
        <f>F169/10</f>
        <v>37.844394491928</v>
      </c>
      <c r="G170" s="6">
        <f>G169/10</f>
        <v>168.10767117759</v>
      </c>
      <c r="H170" s="6">
        <f>H169/10</f>
        <v>1164.9533333333</v>
      </c>
    </row>
    <row r="172" spans="1:10" customHeight="1" ht="15">
      <c r="E172" s="40"/>
      <c r="F172" s="40"/>
      <c r="G172" s="40"/>
      <c r="H172" s="40"/>
    </row>
    <row r="173" spans="1:10" customHeight="1" ht="15">
      <c r="E173" s="114"/>
      <c r="F173" s="114"/>
      <c r="G173" s="11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50:B50"/>
    <mergeCell ref="A60:B60"/>
    <mergeCell ref="A66:B66"/>
    <mergeCell ref="A154:B154"/>
    <mergeCell ref="A83:B83"/>
    <mergeCell ref="A91:B91"/>
    <mergeCell ref="A98:B98"/>
    <mergeCell ref="A161:B161"/>
    <mergeCell ref="A107:B107"/>
    <mergeCell ref="A113:B113"/>
    <mergeCell ref="A122:B122"/>
    <mergeCell ref="A128:B128"/>
    <mergeCell ref="A138:B138"/>
    <mergeCell ref="A145:B145"/>
    <mergeCell ref="A137:B137"/>
    <mergeCell ref="B169:C169"/>
    <mergeCell ref="B170:C170"/>
    <mergeCell ref="A9:B9"/>
    <mergeCell ref="A16:B16"/>
    <mergeCell ref="A27:B27"/>
    <mergeCell ref="A34:B34"/>
    <mergeCell ref="A44:B44"/>
    <mergeCell ref="A106:B106"/>
    <mergeCell ref="A75:B75"/>
    <mergeCell ref="A76:B76"/>
    <mergeCell ref="H3:H7"/>
    <mergeCell ref="A8:B8"/>
    <mergeCell ref="A26:B26"/>
    <mergeCell ref="A43:B43"/>
    <mergeCell ref="A59:B59"/>
    <mergeCell ref="A153:B153"/>
    <mergeCell ref="E3:G4"/>
    <mergeCell ref="E5:E7"/>
    <mergeCell ref="A90:B90"/>
    <mergeCell ref="A121:B121"/>
    <mergeCell ref="B1:G2"/>
    <mergeCell ref="A3:A7"/>
    <mergeCell ref="B3:B7"/>
    <mergeCell ref="C3:C7"/>
    <mergeCell ref="D3:D7"/>
    <mergeCell ref="F5:F7"/>
    <mergeCell ref="G5:G7"/>
  </mergeCells>
  <printOptions gridLines="false" gridLinesSet="true"/>
  <pageMargins left="0.19685039370079" right="0" top="0.35433070866142" bottom="0.5511811023622" header="0.31496062992126" footer="0.3149606299212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9" manualBreakCount="9">
    <brk id="25" man="1"/>
    <brk id="42" man="1"/>
    <brk id="58" man="1"/>
    <brk id="74" man="1"/>
    <brk id="89" man="1"/>
    <brk id="105" man="1"/>
    <brk id="120" man="1"/>
    <brk id="136" man="1"/>
    <brk id="1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T33"/>
  <sheetViews>
    <sheetView tabSelected="0" workbookViewId="0" showGridLines="true" showRowColHeaders="1">
      <selection activeCell="A32" sqref="A32"/>
    </sheetView>
  </sheetViews>
  <sheetFormatPr customHeight="true" defaultRowHeight="12.75" outlineLevelRow="0" outlineLevelCol="0"/>
  <cols>
    <col min="1" max="1" width="17.42578125" customWidth="true" style="0"/>
  </cols>
  <sheetData>
    <row r="2" spans="1:20" customHeight="1" ht="12.75">
      <c r="A2" t="s">
        <v>11</v>
      </c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customHeight="1" ht="12.75">
      <c r="A3" s="79" t="s">
        <v>103</v>
      </c>
      <c r="B3" s="79">
        <v>2</v>
      </c>
      <c r="C3" s="79">
        <v>1</v>
      </c>
      <c r="D3" s="79"/>
      <c r="E3" s="79">
        <v>9</v>
      </c>
      <c r="F3" s="79">
        <v>3</v>
      </c>
      <c r="G3" s="79">
        <v>1</v>
      </c>
      <c r="H3" s="79">
        <v>3</v>
      </c>
      <c r="I3" s="79"/>
      <c r="J3" s="79">
        <v>1</v>
      </c>
      <c r="K3" s="79">
        <v>2</v>
      </c>
      <c r="L3" s="79">
        <v>1</v>
      </c>
      <c r="M3" s="79">
        <v>2</v>
      </c>
      <c r="N3" s="79">
        <v>2</v>
      </c>
      <c r="O3" s="79"/>
      <c r="P3" s="79">
        <v>1</v>
      </c>
      <c r="Q3" s="79">
        <v>1</v>
      </c>
      <c r="R3" s="79">
        <v>1</v>
      </c>
      <c r="S3" s="79"/>
    </row>
    <row r="4" spans="1:20" customHeight="1" ht="12.75">
      <c r="A4" s="79" t="s">
        <v>104</v>
      </c>
      <c r="B4" s="79">
        <v>1</v>
      </c>
      <c r="C4" s="79">
        <v>2</v>
      </c>
      <c r="D4" s="79"/>
      <c r="E4" s="79">
        <v>5</v>
      </c>
      <c r="F4" s="79"/>
      <c r="G4" s="79">
        <v>3</v>
      </c>
      <c r="H4" s="79">
        <v>3</v>
      </c>
      <c r="I4" s="79"/>
      <c r="J4" s="79">
        <v>2</v>
      </c>
      <c r="K4" s="79">
        <v>2</v>
      </c>
      <c r="L4" s="79"/>
      <c r="M4" s="79">
        <v>3</v>
      </c>
      <c r="N4" s="79">
        <v>1</v>
      </c>
      <c r="O4" s="79">
        <v>1</v>
      </c>
      <c r="P4" s="79">
        <v>1</v>
      </c>
      <c r="Q4" s="79">
        <v>2</v>
      </c>
      <c r="R4" s="79"/>
      <c r="S4" s="79">
        <v>1</v>
      </c>
    </row>
    <row r="5" spans="1:20" customHeight="1" ht="12.75">
      <c r="A5" s="79" t="s">
        <v>105</v>
      </c>
      <c r="B5" s="79">
        <v>4</v>
      </c>
      <c r="C5" s="79">
        <v>3</v>
      </c>
      <c r="D5" s="79"/>
      <c r="E5" s="79">
        <v>5</v>
      </c>
      <c r="F5" s="79">
        <v>7</v>
      </c>
      <c r="G5" s="79">
        <v>2</v>
      </c>
      <c r="H5" s="79"/>
      <c r="I5" s="79">
        <v>1</v>
      </c>
      <c r="J5" s="79">
        <v>2</v>
      </c>
      <c r="K5" s="79">
        <v>2</v>
      </c>
      <c r="L5" s="79"/>
      <c r="M5" s="79">
        <v>1</v>
      </c>
      <c r="N5" s="79">
        <v>1</v>
      </c>
      <c r="O5" s="79"/>
      <c r="P5" s="79"/>
      <c r="Q5" s="79"/>
      <c r="R5" s="79">
        <v>1</v>
      </c>
      <c r="S5" s="79">
        <v>1</v>
      </c>
    </row>
    <row r="6" spans="1:20" customHeight="1" ht="15.75">
      <c r="A6" s="85" t="s">
        <v>106</v>
      </c>
      <c r="B6" s="85">
        <v>2</v>
      </c>
      <c r="C6" s="85">
        <v>1</v>
      </c>
      <c r="D6" s="85">
        <v>1</v>
      </c>
      <c r="E6" s="85">
        <v>5</v>
      </c>
      <c r="F6" s="85">
        <v>2</v>
      </c>
      <c r="G6" s="85">
        <v>3</v>
      </c>
      <c r="H6" s="85">
        <v>2</v>
      </c>
      <c r="I6" s="85"/>
      <c r="J6" s="85"/>
      <c r="K6" s="85">
        <v>2</v>
      </c>
      <c r="L6" s="85"/>
      <c r="M6" s="85">
        <v>1</v>
      </c>
      <c r="N6" s="85"/>
      <c r="O6" s="85">
        <v>1</v>
      </c>
      <c r="P6" s="85"/>
      <c r="Q6" s="85"/>
      <c r="R6" s="85">
        <v>1</v>
      </c>
      <c r="S6" s="85"/>
    </row>
    <row r="8" spans="1:20" customHeight="1" ht="12.75">
      <c r="A8" t="s">
        <v>107</v>
      </c>
      <c r="B8" t="s">
        <v>92</v>
      </c>
      <c r="C8" t="s">
        <v>99</v>
      </c>
      <c r="D8" t="s">
        <v>108</v>
      </c>
      <c r="E8" t="s">
        <v>87</v>
      </c>
      <c r="F8" t="s">
        <v>88</v>
      </c>
      <c r="G8" t="s">
        <v>89</v>
      </c>
      <c r="H8" t="s">
        <v>90</v>
      </c>
      <c r="I8" t="s">
        <v>91</v>
      </c>
      <c r="J8" t="s">
        <v>98</v>
      </c>
      <c r="K8" t="s">
        <v>95</v>
      </c>
      <c r="L8" t="s">
        <v>109</v>
      </c>
      <c r="M8" t="s">
        <v>110</v>
      </c>
      <c r="N8" t="s">
        <v>111</v>
      </c>
      <c r="O8" t="s">
        <v>112</v>
      </c>
      <c r="P8" t="s">
        <v>100</v>
      </c>
    </row>
    <row r="9" spans="1:20" customHeight="1" ht="12.75">
      <c r="A9" s="79" t="s">
        <v>103</v>
      </c>
      <c r="B9" s="79">
        <v>8</v>
      </c>
      <c r="C9" s="79">
        <v>3</v>
      </c>
      <c r="D9" s="79">
        <v>1</v>
      </c>
      <c r="E9" s="79"/>
      <c r="F9" s="79">
        <v>1</v>
      </c>
      <c r="G9" s="79">
        <v>3</v>
      </c>
      <c r="H9" s="79">
        <v>3</v>
      </c>
      <c r="I9" s="79">
        <v>2</v>
      </c>
      <c r="J9" s="79">
        <v>2</v>
      </c>
      <c r="K9" s="79">
        <v>2</v>
      </c>
      <c r="L9" s="79">
        <v>1</v>
      </c>
      <c r="M9" s="79">
        <v>1</v>
      </c>
      <c r="N9" s="79"/>
      <c r="O9" s="79"/>
      <c r="P9" s="79"/>
      <c r="Q9" s="79"/>
      <c r="R9" s="79"/>
      <c r="S9" s="79"/>
    </row>
    <row r="10" spans="1:20" customHeight="1" ht="12.75">
      <c r="A10" s="79" t="s">
        <v>104</v>
      </c>
      <c r="B10" s="79">
        <v>3</v>
      </c>
      <c r="C10" s="79">
        <v>1</v>
      </c>
      <c r="D10" s="79">
        <v>2</v>
      </c>
      <c r="E10" s="79">
        <v>3</v>
      </c>
      <c r="F10" s="79">
        <v>6</v>
      </c>
      <c r="G10" s="79">
        <v>1</v>
      </c>
      <c r="H10" s="79">
        <v>5</v>
      </c>
      <c r="I10" s="79">
        <v>2</v>
      </c>
      <c r="J10" s="79">
        <v>3</v>
      </c>
      <c r="K10" s="79">
        <v>1</v>
      </c>
      <c r="L10" s="79">
        <v>1</v>
      </c>
      <c r="M10" s="79"/>
      <c r="N10" s="79">
        <v>1</v>
      </c>
      <c r="O10" s="79">
        <v>1</v>
      </c>
      <c r="P10" s="79"/>
      <c r="Q10" s="79"/>
      <c r="R10" s="79"/>
      <c r="S10" s="79"/>
    </row>
    <row r="11" spans="1:20" customHeight="1" ht="12.75">
      <c r="A11" s="79" t="s">
        <v>105</v>
      </c>
      <c r="B11" s="79">
        <v>8</v>
      </c>
      <c r="C11" s="79"/>
      <c r="D11" s="79"/>
      <c r="E11" s="79"/>
      <c r="F11" s="79">
        <v>3</v>
      </c>
      <c r="G11" s="79">
        <v>3</v>
      </c>
      <c r="H11" s="79">
        <v>5</v>
      </c>
      <c r="I11" s="79">
        <v>1</v>
      </c>
      <c r="J11" s="79">
        <v>1</v>
      </c>
      <c r="K11" s="79">
        <v>2</v>
      </c>
      <c r="L11" s="79">
        <v>1</v>
      </c>
      <c r="M11" s="79">
        <v>1</v>
      </c>
      <c r="N11" s="79"/>
      <c r="O11" s="79">
        <v>1</v>
      </c>
      <c r="P11" s="79">
        <v>2</v>
      </c>
      <c r="Q11" s="79">
        <v>1</v>
      </c>
      <c r="R11" s="79"/>
      <c r="S11" s="79">
        <v>2</v>
      </c>
    </row>
    <row r="12" spans="1:20" customHeight="1" ht="15.75">
      <c r="A12" s="85" t="s">
        <v>106</v>
      </c>
      <c r="B12" s="85">
        <v>5</v>
      </c>
      <c r="C12" s="85"/>
      <c r="D12" s="85"/>
      <c r="E12" s="85">
        <v>3</v>
      </c>
      <c r="F12" s="85">
        <v>2</v>
      </c>
      <c r="G12" s="85">
        <v>3</v>
      </c>
      <c r="H12" s="85">
        <v>2</v>
      </c>
      <c r="I12" s="85">
        <v>2</v>
      </c>
      <c r="J12" s="85"/>
      <c r="K12" s="85"/>
      <c r="L12" s="85"/>
      <c r="M12" s="85">
        <v>1</v>
      </c>
      <c r="N12" s="85"/>
      <c r="O12" s="85"/>
      <c r="P12" s="85">
        <v>1</v>
      </c>
      <c r="Q12" s="85"/>
      <c r="R12" s="85"/>
      <c r="S12" s="85"/>
    </row>
    <row r="18" spans="1:20" customHeight="1" ht="38.25">
      <c r="A18" s="80" t="s">
        <v>11</v>
      </c>
      <c r="B18" s="78" t="s">
        <v>113</v>
      </c>
      <c r="C18" s="78" t="s">
        <v>114</v>
      </c>
      <c r="D18" s="78" t="s">
        <v>115</v>
      </c>
      <c r="E18" s="78" t="s">
        <v>116</v>
      </c>
      <c r="F18" s="78" t="s">
        <v>117</v>
      </c>
      <c r="G18" s="78"/>
      <c r="H18" s="78"/>
      <c r="I18" s="78"/>
      <c r="J18" s="78"/>
      <c r="K18" s="78"/>
    </row>
    <row r="19" spans="1:20" customHeight="1" ht="12.75">
      <c r="A19" s="79" t="s">
        <v>118</v>
      </c>
      <c r="B19" s="79">
        <v>1</v>
      </c>
      <c r="C19" s="79">
        <v>0.07</v>
      </c>
      <c r="D19" s="79">
        <v>4700</v>
      </c>
      <c r="E19" s="79">
        <f>C19*D19</f>
        <v>329</v>
      </c>
      <c r="F19" s="79">
        <f>E19*2</f>
        <v>658</v>
      </c>
      <c r="G19" s="79"/>
      <c r="H19" s="79"/>
      <c r="I19" s="79"/>
      <c r="J19" s="79"/>
      <c r="K19" s="79"/>
    </row>
    <row r="20" spans="1:20" customHeight="1" ht="12.75">
      <c r="A20" s="79" t="s">
        <v>119</v>
      </c>
      <c r="B20" s="79">
        <v>1</v>
      </c>
      <c r="C20" s="79">
        <v>0.07</v>
      </c>
      <c r="D20" s="79">
        <v>4700</v>
      </c>
      <c r="E20" s="79">
        <f>C20*D20</f>
        <v>329</v>
      </c>
      <c r="F20" s="79">
        <f>E20*2</f>
        <v>658</v>
      </c>
      <c r="G20" s="79"/>
      <c r="H20" s="79"/>
      <c r="I20" s="79"/>
      <c r="J20" s="79"/>
      <c r="K20" s="79"/>
    </row>
    <row r="21" spans="1:20" customHeight="1" ht="12.75">
      <c r="A21" s="79" t="s">
        <v>120</v>
      </c>
      <c r="B21" s="79">
        <v>1</v>
      </c>
      <c r="C21" s="79">
        <v>0.07</v>
      </c>
      <c r="D21" s="79">
        <v>4700</v>
      </c>
      <c r="E21" s="79">
        <f>C21*D21</f>
        <v>329</v>
      </c>
      <c r="F21" s="79">
        <f>E21*2</f>
        <v>658</v>
      </c>
      <c r="G21" s="79">
        <v>2</v>
      </c>
      <c r="H21" s="79">
        <f>F21*G21</f>
        <v>1316</v>
      </c>
      <c r="I21" s="79"/>
      <c r="J21" s="79"/>
      <c r="K21" s="79">
        <v>0.13</v>
      </c>
    </row>
    <row r="22" spans="1:20" customHeight="1" ht="12.75">
      <c r="A22" s="79" t="s">
        <v>121</v>
      </c>
      <c r="B22" s="79">
        <v>2</v>
      </c>
      <c r="C22" s="79">
        <v>0.025</v>
      </c>
      <c r="D22" s="79">
        <f>D21*2</f>
        <v>9400</v>
      </c>
      <c r="E22" s="79">
        <f>C22*D22</f>
        <v>235</v>
      </c>
      <c r="F22" s="79">
        <f>E22*2</f>
        <v>470</v>
      </c>
      <c r="G22" s="79"/>
      <c r="H22" s="79"/>
      <c r="I22" s="79"/>
      <c r="J22" s="79"/>
      <c r="K22" s="79"/>
    </row>
    <row r="23" spans="1:20" customHeight="1" ht="12.75">
      <c r="A23" s="79" t="s">
        <v>122</v>
      </c>
      <c r="B23" s="79">
        <v>1</v>
      </c>
      <c r="C23" s="79">
        <v>0.12</v>
      </c>
      <c r="D23" s="79">
        <v>4700</v>
      </c>
      <c r="E23" s="79">
        <f>C23*D23</f>
        <v>564</v>
      </c>
      <c r="F23" s="79">
        <f>E23*2</f>
        <v>1128</v>
      </c>
      <c r="G23" s="79"/>
      <c r="H23" s="79"/>
      <c r="I23" s="79"/>
      <c r="J23" s="79"/>
      <c r="K23" s="79"/>
    </row>
    <row r="24" spans="1:20" customHeight="1" ht="12.75">
      <c r="A24" s="79" t="s">
        <v>123</v>
      </c>
      <c r="B24" s="79">
        <v>1</v>
      </c>
      <c r="C24" s="79">
        <v>0.13</v>
      </c>
      <c r="D24" s="79">
        <v>4700</v>
      </c>
      <c r="E24" s="79">
        <f>C24*D24</f>
        <v>611</v>
      </c>
      <c r="F24" s="79">
        <f>E24*2</f>
        <v>1222</v>
      </c>
      <c r="G24" s="79"/>
      <c r="H24" s="79"/>
      <c r="I24" s="79"/>
      <c r="J24" s="79"/>
      <c r="K24" s="79"/>
    </row>
    <row r="25" spans="1:20" customHeight="1" ht="12.75">
      <c r="A25" s="79" t="s">
        <v>124</v>
      </c>
      <c r="B25" s="79">
        <v>1</v>
      </c>
      <c r="C25" s="79">
        <v>0.08</v>
      </c>
      <c r="D25" s="79">
        <v>4700</v>
      </c>
      <c r="E25" s="79">
        <f>C25*D25</f>
        <v>376</v>
      </c>
      <c r="F25" s="79">
        <f>E25*2</f>
        <v>752</v>
      </c>
      <c r="G25" s="79"/>
      <c r="H25" s="79"/>
      <c r="I25" s="79"/>
      <c r="J25" s="79"/>
      <c r="K25" s="79"/>
    </row>
    <row r="26" spans="1:20" customHeight="1" ht="12.75">
      <c r="A26" s="80" t="s">
        <v>107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20" customHeight="1" ht="12.75">
      <c r="A27" s="79" t="s">
        <v>125</v>
      </c>
      <c r="B27" s="79">
        <v>1</v>
      </c>
      <c r="C27" s="79">
        <v>0.07</v>
      </c>
      <c r="D27" s="79">
        <v>2049</v>
      </c>
      <c r="E27" s="79">
        <f>C27*D27</f>
        <v>143.43</v>
      </c>
      <c r="F27" s="79">
        <f>E27*2</f>
        <v>286.86</v>
      </c>
      <c r="G27" s="79"/>
      <c r="H27" s="79">
        <v>400</v>
      </c>
      <c r="I27" s="79"/>
      <c r="J27" s="79"/>
      <c r="K27" s="79"/>
    </row>
    <row r="28" spans="1:20" customHeight="1" ht="12.75">
      <c r="A28" s="79" t="s">
        <v>126</v>
      </c>
      <c r="B28" s="79">
        <v>1</v>
      </c>
      <c r="C28" s="79">
        <v>0.07</v>
      </c>
      <c r="D28" s="79">
        <v>2049</v>
      </c>
      <c r="E28" s="79">
        <f>C28*D28</f>
        <v>143.43</v>
      </c>
      <c r="F28" s="79">
        <f>E28*2</f>
        <v>286.86</v>
      </c>
      <c r="G28" s="79"/>
      <c r="H28" s="79">
        <v>400</v>
      </c>
      <c r="I28" s="79"/>
      <c r="J28" s="79"/>
      <c r="K28" s="79"/>
    </row>
    <row r="29" spans="1:20" customHeight="1" ht="12.75">
      <c r="A29" s="79" t="s">
        <v>127</v>
      </c>
      <c r="B29" s="79">
        <v>1</v>
      </c>
      <c r="C29" s="79">
        <v>0.07</v>
      </c>
      <c r="D29" s="79">
        <v>2049</v>
      </c>
      <c r="E29" s="79">
        <f>C29*D29</f>
        <v>143.43</v>
      </c>
      <c r="F29" s="79">
        <f>E29*2</f>
        <v>286.86</v>
      </c>
      <c r="G29" s="79"/>
      <c r="H29" s="79">
        <v>400</v>
      </c>
      <c r="I29" s="79"/>
      <c r="J29" s="79"/>
      <c r="K29" s="79"/>
    </row>
    <row r="30" spans="1:20" customHeight="1" ht="12.75">
      <c r="A30" s="79" t="s">
        <v>121</v>
      </c>
      <c r="B30" s="79">
        <v>2</v>
      </c>
      <c r="C30" s="79">
        <v>0.025</v>
      </c>
      <c r="D30" s="79">
        <f>D29*2</f>
        <v>4098</v>
      </c>
      <c r="E30" s="79">
        <f>C30*D30</f>
        <v>102.45</v>
      </c>
      <c r="F30" s="79">
        <f>E30*2</f>
        <v>204.9</v>
      </c>
      <c r="G30" s="79">
        <v>2</v>
      </c>
      <c r="H30" s="79">
        <f>F30*G30</f>
        <v>409.8</v>
      </c>
      <c r="I30" s="79"/>
      <c r="J30" s="79"/>
      <c r="K30" s="79"/>
    </row>
    <row r="32" spans="1:20" customHeight="1" ht="23.25">
      <c r="A32" s="88">
        <v>4700</v>
      </c>
      <c r="B32" s="80" t="s">
        <v>11</v>
      </c>
    </row>
    <row r="33" spans="1:20" customHeight="1" ht="23.25">
      <c r="A33" s="89">
        <v>2049</v>
      </c>
      <c r="B33" s="80" t="s">
        <v>128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" right="0" top="0.74803149606299" bottom="0.74803149606299" header="0.31496062992126" footer="0.31496062992126"/>
  <pageSetup paperSize="9" orientation="landscape" scale="77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7"/>
  <sheetViews>
    <sheetView tabSelected="0" workbookViewId="0" showGridLines="true" showRowColHeaders="1">
      <selection activeCell="G23" sqref="G23"/>
    </sheetView>
  </sheetViews>
  <sheetFormatPr customHeight="true" defaultRowHeight="12.75" outlineLevelRow="0" outlineLevelCol="0"/>
  <cols>
    <col min="1" max="1" width="26.42578125" customWidth="true" style="0"/>
    <col min="4" max="4" width="9.140625" customWidth="true" style="0"/>
    <col min="9" max="9" width="9.140625" customWidth="true" style="0"/>
    <col min="14" max="14" width="9.140625" hidden="true" customWidth="true" style="0"/>
    <col min="19" max="19" width="9.140625" hidden="true" customWidth="true" style="0"/>
  </cols>
  <sheetData>
    <row r="3" spans="1:21" customHeight="1" ht="38.25">
      <c r="A3" s="77" t="s">
        <v>121</v>
      </c>
      <c r="B3" s="82" t="s">
        <v>129</v>
      </c>
      <c r="C3" s="78" t="s">
        <v>130</v>
      </c>
      <c r="D3" s="79"/>
      <c r="E3" s="78" t="s">
        <v>131</v>
      </c>
      <c r="F3" s="78" t="s">
        <v>132</v>
      </c>
      <c r="G3" s="82" t="s">
        <v>129</v>
      </c>
      <c r="H3" s="78" t="s">
        <v>130</v>
      </c>
      <c r="I3" s="79"/>
      <c r="J3" s="78" t="s">
        <v>131</v>
      </c>
      <c r="K3" s="78" t="s">
        <v>132</v>
      </c>
      <c r="L3" s="82" t="s">
        <v>129</v>
      </c>
      <c r="M3" s="78" t="s">
        <v>130</v>
      </c>
      <c r="N3" s="79"/>
      <c r="O3" s="78" t="s">
        <v>131</v>
      </c>
      <c r="P3" s="78" t="s">
        <v>132</v>
      </c>
      <c r="Q3" s="82" t="s">
        <v>129</v>
      </c>
      <c r="R3" s="78" t="s">
        <v>130</v>
      </c>
      <c r="S3" s="79"/>
      <c r="T3" s="78" t="s">
        <v>131</v>
      </c>
      <c r="U3" s="78" t="s">
        <v>132</v>
      </c>
    </row>
    <row r="4" spans="1:21" customHeight="1" ht="12.75">
      <c r="A4" s="83" t="s">
        <v>11</v>
      </c>
      <c r="B4" s="80">
        <v>2</v>
      </c>
      <c r="C4" s="79">
        <v>0.025</v>
      </c>
      <c r="D4" s="79">
        <v>4700</v>
      </c>
      <c r="E4" s="79">
        <f>B4*D4</f>
        <v>9400</v>
      </c>
      <c r="F4" s="79">
        <f>C4*E4</f>
        <v>235</v>
      </c>
      <c r="G4" s="80">
        <v>2</v>
      </c>
      <c r="H4" s="79">
        <v>0.025</v>
      </c>
      <c r="I4" s="79">
        <v>4700</v>
      </c>
      <c r="J4" s="79">
        <f>G4*I4</f>
        <v>9400</v>
      </c>
      <c r="K4" s="79">
        <f>H4*J4</f>
        <v>235</v>
      </c>
      <c r="L4" s="80">
        <v>1</v>
      </c>
      <c r="M4" s="79">
        <v>0.025</v>
      </c>
      <c r="N4" s="79">
        <v>4700</v>
      </c>
      <c r="O4" s="79">
        <f>L4*N4</f>
        <v>4700</v>
      </c>
      <c r="P4" s="79">
        <f>M4*O4</f>
        <v>117.5</v>
      </c>
      <c r="Q4" s="80">
        <v>1</v>
      </c>
      <c r="R4" s="79">
        <v>0.025</v>
      </c>
      <c r="S4" s="79">
        <v>4700</v>
      </c>
      <c r="T4" s="79">
        <f>Q4*S4</f>
        <v>4700</v>
      </c>
      <c r="U4" s="79">
        <f>R4*T4</f>
        <v>117.5</v>
      </c>
    </row>
    <row r="5" spans="1:21" customHeight="1" ht="12.75">
      <c r="A5" s="83" t="s">
        <v>128</v>
      </c>
      <c r="B5" s="80">
        <v>2</v>
      </c>
      <c r="C5" s="79">
        <v>0.025</v>
      </c>
      <c r="D5" s="79">
        <v>2049</v>
      </c>
      <c r="E5" s="79">
        <f>B5*D5</f>
        <v>4098</v>
      </c>
      <c r="F5" s="79">
        <f>C5*E5</f>
        <v>102.45</v>
      </c>
      <c r="G5" s="80">
        <v>1</v>
      </c>
      <c r="H5" s="79">
        <v>0.025</v>
      </c>
      <c r="I5" s="79">
        <v>2049</v>
      </c>
      <c r="J5" s="79">
        <f>G5*I5</f>
        <v>2049</v>
      </c>
      <c r="K5" s="79">
        <f>H5*J5</f>
        <v>51.225</v>
      </c>
      <c r="L5" s="80">
        <v>2</v>
      </c>
      <c r="M5" s="79">
        <v>0.025</v>
      </c>
      <c r="N5" s="79">
        <v>2049</v>
      </c>
      <c r="O5" s="79">
        <f>L5*N5</f>
        <v>4098</v>
      </c>
      <c r="P5" s="79">
        <f>M5*O5</f>
        <v>102.45</v>
      </c>
      <c r="Q5" s="80">
        <v>1</v>
      </c>
      <c r="R5" s="79">
        <v>0.025</v>
      </c>
      <c r="S5" s="79">
        <v>2049</v>
      </c>
      <c r="T5" s="79">
        <f>Q5*S5</f>
        <v>2049</v>
      </c>
      <c r="U5" s="79">
        <f>R5*T5</f>
        <v>51.225</v>
      </c>
    </row>
    <row r="6" spans="1:21" customHeight="1" ht="12.75">
      <c r="A6" s="248" t="s">
        <v>133</v>
      </c>
      <c r="B6" s="248"/>
      <c r="C6" s="248"/>
      <c r="D6" s="248"/>
      <c r="E6" s="248"/>
      <c r="F6" s="81">
        <f>SUM(F4:F5)</f>
        <v>337.45</v>
      </c>
      <c r="G6" s="84"/>
      <c r="H6" s="84"/>
      <c r="I6" s="84"/>
      <c r="J6" s="84"/>
      <c r="K6" s="81">
        <f>SUM(K4:K5)</f>
        <v>286.225</v>
      </c>
      <c r="L6" s="84"/>
      <c r="M6" s="84"/>
      <c r="N6" s="84"/>
      <c r="O6" s="84"/>
      <c r="P6" s="81">
        <f>SUM(P4:P5)</f>
        <v>219.95</v>
      </c>
      <c r="Q6" s="84"/>
      <c r="R6" s="84"/>
      <c r="S6" s="84"/>
      <c r="T6" s="84"/>
      <c r="U6" s="81">
        <f>SUM(U4:U5)</f>
        <v>168.725</v>
      </c>
    </row>
    <row r="7" spans="1:21" customHeight="1" ht="12.75">
      <c r="A7" s="248" t="s">
        <v>134</v>
      </c>
      <c r="B7" s="248"/>
      <c r="C7" s="248"/>
      <c r="D7" s="248"/>
      <c r="E7" s="248"/>
      <c r="F7" s="81">
        <f>F6*2</f>
        <v>674.9</v>
      </c>
      <c r="G7" s="84"/>
      <c r="H7" s="84"/>
      <c r="I7" s="84"/>
      <c r="J7" s="84"/>
      <c r="K7" s="81">
        <f>K6*2</f>
        <v>572.45</v>
      </c>
      <c r="L7" s="84"/>
      <c r="M7" s="84"/>
      <c r="N7" s="84"/>
      <c r="O7" s="84"/>
      <c r="P7" s="81">
        <f>P6*2</f>
        <v>439.9</v>
      </c>
      <c r="Q7" s="84"/>
      <c r="R7" s="84"/>
      <c r="S7" s="84"/>
      <c r="T7" s="84"/>
      <c r="U7" s="81">
        <f>U6*2</f>
        <v>337.45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6:E6"/>
    <mergeCell ref="A7:E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71"/>
  <sheetViews>
    <sheetView tabSelected="0" workbookViewId="0" showGridLines="true" showRowColHeaders="1">
      <selection activeCell="L13" sqref="L13"/>
    </sheetView>
  </sheetViews>
  <sheetFormatPr customHeight="true" defaultRowHeight="15" defaultColWidth="9.140625" outlineLevelRow="0" outlineLevelCol="0"/>
  <cols>
    <col min="1" max="1" width="10" customWidth="true" style="43"/>
    <col min="2" max="2" width="57" customWidth="true" style="11"/>
    <col min="3" max="3" width="9.5703125" customWidth="true" style="55"/>
    <col min="4" max="4" width="9.5703125" customWidth="true" style="40"/>
    <col min="5" max="5" width="10.28515625" customWidth="true" style="11"/>
    <col min="6" max="6" width="10.7109375" customWidth="true" style="11"/>
    <col min="7" max="7" width="10.7109375" customWidth="true" style="11"/>
    <col min="8" max="8" width="11.85546875" customWidth="true" style="11"/>
  </cols>
  <sheetData>
    <row r="1" spans="1:10" customHeight="1" ht="15">
      <c r="B1" s="220" t="s">
        <v>135</v>
      </c>
      <c r="C1" s="220"/>
      <c r="D1" s="220"/>
      <c r="E1" s="220"/>
      <c r="F1" s="220"/>
      <c r="G1" s="220"/>
      <c r="H1" s="42"/>
    </row>
    <row r="2" spans="1:10" customHeight="1" ht="15">
      <c r="B2" s="221"/>
      <c r="C2" s="221"/>
      <c r="D2" s="221"/>
      <c r="E2" s="221"/>
      <c r="F2" s="221"/>
      <c r="G2" s="221"/>
    </row>
    <row r="3" spans="1:10" customHeight="1" ht="15.75">
      <c r="A3" s="222" t="s">
        <v>1</v>
      </c>
      <c r="B3" s="225" t="s">
        <v>2</v>
      </c>
      <c r="C3" s="228" t="s">
        <v>3</v>
      </c>
      <c r="D3" s="231" t="s">
        <v>4</v>
      </c>
      <c r="E3" s="238" t="s">
        <v>5</v>
      </c>
      <c r="F3" s="238"/>
      <c r="G3" s="239"/>
      <c r="H3" s="232" t="s">
        <v>6</v>
      </c>
    </row>
    <row r="4" spans="1:10" customHeight="1" ht="15.75">
      <c r="A4" s="223"/>
      <c r="B4" s="226"/>
      <c r="C4" s="229"/>
      <c r="D4" s="231"/>
      <c r="E4" s="240"/>
      <c r="F4" s="240"/>
      <c r="G4" s="241"/>
      <c r="H4" s="233"/>
    </row>
    <row r="5" spans="1:10" customHeight="1" ht="15">
      <c r="A5" s="223"/>
      <c r="B5" s="226"/>
      <c r="C5" s="229"/>
      <c r="D5" s="231"/>
      <c r="E5" s="242" t="s">
        <v>7</v>
      </c>
      <c r="F5" s="225" t="s">
        <v>8</v>
      </c>
      <c r="G5" s="225" t="s">
        <v>9</v>
      </c>
      <c r="H5" s="233"/>
    </row>
    <row r="6" spans="1:10" customHeight="1" ht="15">
      <c r="A6" s="223"/>
      <c r="B6" s="226"/>
      <c r="C6" s="229"/>
      <c r="D6" s="231"/>
      <c r="E6" s="243"/>
      <c r="F6" s="226"/>
      <c r="G6" s="226"/>
      <c r="H6" s="233"/>
    </row>
    <row r="7" spans="1:10" customHeight="1" ht="33">
      <c r="A7" s="224"/>
      <c r="B7" s="227"/>
      <c r="C7" s="230"/>
      <c r="D7" s="231"/>
      <c r="E7" s="244"/>
      <c r="F7" s="227"/>
      <c r="G7" s="227"/>
      <c r="H7" s="234"/>
    </row>
    <row r="8" spans="1:10" customHeight="1" ht="18.75">
      <c r="A8" s="235" t="s">
        <v>10</v>
      </c>
      <c r="B8" s="236"/>
      <c r="C8" s="34"/>
      <c r="D8" s="33"/>
      <c r="E8" s="33"/>
      <c r="F8" s="33"/>
      <c r="G8" s="33"/>
      <c r="H8" s="33"/>
    </row>
    <row r="9" spans="1:10" customHeight="1" ht="18">
      <c r="A9" s="235" t="s">
        <v>11</v>
      </c>
      <c r="B9" s="236"/>
      <c r="C9" s="34"/>
      <c r="D9" s="39"/>
      <c r="E9" s="12"/>
      <c r="F9" s="12"/>
      <c r="G9" s="12"/>
      <c r="H9" s="12"/>
    </row>
    <row r="10" spans="1:10" customHeight="1" ht="18">
      <c r="A10" s="45">
        <v>258</v>
      </c>
      <c r="B10" s="4" t="s">
        <v>136</v>
      </c>
      <c r="C10" s="51">
        <v>170</v>
      </c>
      <c r="D10" s="41">
        <f>40.42+12.55</f>
        <v>52.97</v>
      </c>
      <c r="E10" s="17">
        <v>11.75</v>
      </c>
      <c r="F10" s="17">
        <v>15.3</v>
      </c>
      <c r="G10" s="17">
        <f>36.8+5.36</f>
        <v>42.16</v>
      </c>
      <c r="H10" s="17">
        <v>353.34</v>
      </c>
    </row>
    <row r="11" spans="1:10" customHeight="1" ht="18">
      <c r="A11" s="45">
        <v>300</v>
      </c>
      <c r="B11" s="25" t="s">
        <v>33</v>
      </c>
      <c r="C11" s="51">
        <v>200</v>
      </c>
      <c r="D11" s="21">
        <v>3.52</v>
      </c>
      <c r="E11" s="4">
        <v>0.1</v>
      </c>
      <c r="F11" s="4">
        <v>0.0</v>
      </c>
      <c r="G11" s="4">
        <v>20.2</v>
      </c>
      <c r="H11" s="4">
        <v>81.2</v>
      </c>
    </row>
    <row r="12" spans="1:10" customHeight="1" ht="18">
      <c r="A12" s="45" t="s">
        <v>18</v>
      </c>
      <c r="B12" s="14" t="s">
        <v>34</v>
      </c>
      <c r="C12" s="30">
        <v>120</v>
      </c>
      <c r="D12" s="41">
        <f>17.68-1.17</f>
        <v>16.51</v>
      </c>
      <c r="E12" s="17">
        <v>1.8225</v>
      </c>
      <c r="F12" s="17">
        <v>0.405</v>
      </c>
      <c r="G12" s="17">
        <v>4.6425</v>
      </c>
      <c r="H12" s="17">
        <v>29.51</v>
      </c>
    </row>
    <row r="13" spans="1:10" customHeight="1" ht="18" s="7" customFormat="1">
      <c r="A13" s="47"/>
      <c r="B13" s="9" t="s">
        <v>20</v>
      </c>
      <c r="C13" s="50">
        <f>SUM(C10:C12)</f>
        <v>490</v>
      </c>
      <c r="D13" s="75">
        <f>SUM(D10:D12)</f>
        <v>73</v>
      </c>
      <c r="E13" s="75">
        <f>SUM(E10:E12)</f>
        <v>13.6725</v>
      </c>
      <c r="F13" s="75">
        <f>SUM(F10:F12)</f>
        <v>15.705</v>
      </c>
      <c r="G13" s="75">
        <f>SUM(G10:G12)</f>
        <v>67.0025</v>
      </c>
      <c r="H13" s="75">
        <f>SUM(H10:H12)</f>
        <v>464.05</v>
      </c>
      <c r="J13" s="113"/>
    </row>
    <row r="14" spans="1:10" customHeight="1" ht="18">
      <c r="A14" s="235" t="s">
        <v>21</v>
      </c>
      <c r="B14" s="236"/>
      <c r="C14" s="54"/>
      <c r="D14" s="36"/>
      <c r="E14" s="18"/>
      <c r="F14" s="18"/>
      <c r="G14" s="18"/>
      <c r="H14" s="18"/>
    </row>
    <row r="15" spans="1:10" customHeight="1" ht="18">
      <c r="A15" s="90">
        <v>65</v>
      </c>
      <c r="B15" s="1" t="s">
        <v>22</v>
      </c>
      <c r="C15" s="62">
        <v>200</v>
      </c>
      <c r="D15" s="21">
        <v>9.75</v>
      </c>
      <c r="E15" s="26">
        <v>6.4</v>
      </c>
      <c r="F15" s="26">
        <v>8</v>
      </c>
      <c r="G15" s="26">
        <v>30.7</v>
      </c>
      <c r="H15" s="26">
        <v>220.4</v>
      </c>
    </row>
    <row r="16" spans="1:10" customHeight="1" ht="18">
      <c r="A16" s="90">
        <v>97</v>
      </c>
      <c r="B16" s="1" t="s">
        <v>23</v>
      </c>
      <c r="C16" s="29">
        <v>90</v>
      </c>
      <c r="D16" s="21">
        <f>50.35-14+5-0.41+0.59-1.21+2</f>
        <v>42.32</v>
      </c>
      <c r="E16" s="16">
        <f>14.02-7</f>
        <v>7.02</v>
      </c>
      <c r="F16" s="16">
        <f>9.3-1.96</f>
        <v>7.34</v>
      </c>
      <c r="G16" s="16">
        <v>7.1</v>
      </c>
      <c r="H16" s="16">
        <v>122.54</v>
      </c>
    </row>
    <row r="17" spans="1:10" customHeight="1" ht="18">
      <c r="A17" s="91" t="s">
        <v>24</v>
      </c>
      <c r="B17" s="1" t="s">
        <v>25</v>
      </c>
      <c r="C17" s="57">
        <v>150</v>
      </c>
      <c r="D17" s="21">
        <v>8.49</v>
      </c>
      <c r="E17" s="19">
        <v>4.925</v>
      </c>
      <c r="F17" s="19">
        <v>6.8</v>
      </c>
      <c r="G17" s="19">
        <v>21.008333333333</v>
      </c>
      <c r="H17" s="19">
        <v>164.93333333333</v>
      </c>
    </row>
    <row r="18" spans="1:10" customHeight="1" ht="18">
      <c r="A18" s="45">
        <v>300</v>
      </c>
      <c r="B18" s="76" t="s">
        <v>26</v>
      </c>
      <c r="C18" s="51">
        <v>200</v>
      </c>
      <c r="D18" s="21">
        <v>7.73</v>
      </c>
      <c r="E18" s="4">
        <v>0.1</v>
      </c>
      <c r="F18" s="4">
        <v>0.0</v>
      </c>
      <c r="G18" s="4">
        <v>20.2</v>
      </c>
      <c r="H18" s="4">
        <v>81.2</v>
      </c>
    </row>
    <row r="19" spans="1:10" customHeight="1" ht="18" s="8" customFormat="1">
      <c r="A19" s="48" t="s">
        <v>27</v>
      </c>
      <c r="B19" s="4" t="s">
        <v>28</v>
      </c>
      <c r="C19" s="51">
        <v>30</v>
      </c>
      <c r="D19" s="21">
        <v>2.76</v>
      </c>
      <c r="E19" s="2">
        <f>6.6/100*30</f>
        <v>1.98</v>
      </c>
      <c r="F19" s="52">
        <f>1.2/100*30</f>
        <v>0.36</v>
      </c>
      <c r="G19" s="2">
        <f>33.4/100*30</f>
        <v>10.02</v>
      </c>
      <c r="H19" s="2">
        <v>51.24</v>
      </c>
    </row>
    <row r="20" spans="1:10" customHeight="1" ht="18" s="8" customFormat="1">
      <c r="A20" s="91" t="s">
        <v>29</v>
      </c>
      <c r="B20" s="4" t="s">
        <v>14</v>
      </c>
      <c r="C20" s="51">
        <v>20</v>
      </c>
      <c r="D20" s="21">
        <f>2.08-0.13</f>
        <v>1.95</v>
      </c>
      <c r="E20" s="4">
        <f>7.9/100*30</f>
        <v>2.37</v>
      </c>
      <c r="F20" s="4">
        <f>1/100*30</f>
        <v>0.3</v>
      </c>
      <c r="G20" s="4">
        <f>48.3/100*30</f>
        <v>14.49</v>
      </c>
      <c r="H20" s="4">
        <v>70.14</v>
      </c>
    </row>
    <row r="21" spans="1:10" customHeight="1" ht="18" s="8" customFormat="1">
      <c r="A21" s="47"/>
      <c r="B21" s="9" t="s">
        <v>20</v>
      </c>
      <c r="C21" s="50">
        <f>SUM(C15:C20)</f>
        <v>690</v>
      </c>
      <c r="D21" s="35">
        <f>SUM(D15:D20)</f>
        <v>73</v>
      </c>
      <c r="E21" s="35">
        <f>SUM(E15:E20)</f>
        <v>22.795</v>
      </c>
      <c r="F21" s="35">
        <f>SUM(F15:F20)</f>
        <v>22.8</v>
      </c>
      <c r="G21" s="35">
        <f>SUM(G15:G20)</f>
        <v>103.51833333333</v>
      </c>
      <c r="H21" s="35">
        <f>SUM(H15:H20)</f>
        <v>710.45333333333</v>
      </c>
    </row>
    <row r="22" spans="1:10" customHeight="1" ht="18">
      <c r="A22" s="47"/>
      <c r="B22" s="3" t="s">
        <v>30</v>
      </c>
      <c r="C22" s="50"/>
      <c r="D22" s="64"/>
      <c r="E22" s="35">
        <f>E13+E21</f>
        <v>36.4675</v>
      </c>
      <c r="F22" s="35">
        <f>F13+F21</f>
        <v>38.505</v>
      </c>
      <c r="G22" s="35">
        <f>G13+G21</f>
        <v>170.52083333333</v>
      </c>
      <c r="H22" s="35">
        <f>H13+H21</f>
        <v>1174.5033333333</v>
      </c>
    </row>
    <row r="23" spans="1:10" customHeight="1" ht="18">
      <c r="A23" s="69"/>
      <c r="B23" s="23"/>
      <c r="C23" s="70"/>
      <c r="D23" s="71"/>
      <c r="E23" s="72"/>
      <c r="F23" s="72"/>
      <c r="G23" s="72"/>
      <c r="H23" s="72"/>
    </row>
    <row r="24" spans="1:10" customHeight="1" ht="18">
      <c r="A24" s="237" t="s">
        <v>31</v>
      </c>
      <c r="B24" s="238"/>
      <c r="C24" s="53"/>
      <c r="D24" s="23"/>
      <c r="E24" s="23"/>
      <c r="F24" s="23"/>
      <c r="G24" s="23"/>
      <c r="H24" s="23"/>
    </row>
    <row r="25" spans="1:10" customHeight="1" ht="18">
      <c r="A25" s="247" t="s">
        <v>11</v>
      </c>
      <c r="B25" s="240"/>
      <c r="C25" s="44"/>
      <c r="D25" s="37"/>
      <c r="E25" s="24"/>
      <c r="F25" s="65"/>
      <c r="G25" s="24"/>
      <c r="H25" s="24"/>
    </row>
    <row r="26" spans="1:10" customHeight="1" ht="18">
      <c r="A26" s="45">
        <v>234</v>
      </c>
      <c r="B26" s="2" t="s">
        <v>32</v>
      </c>
      <c r="C26" s="60">
        <v>115</v>
      </c>
      <c r="D26" s="38">
        <v>42.34</v>
      </c>
      <c r="E26" s="31">
        <f>6.9+3.28</f>
        <v>10.18</v>
      </c>
      <c r="F26" s="31">
        <f>10.1-1.28</f>
        <v>8.82</v>
      </c>
      <c r="G26" s="31">
        <v>8.7</v>
      </c>
      <c r="H26" s="31">
        <v>154.9</v>
      </c>
    </row>
    <row r="27" spans="1:10" customHeight="1" ht="18">
      <c r="A27" s="91" t="s">
        <v>29</v>
      </c>
      <c r="B27" s="4" t="s">
        <v>14</v>
      </c>
      <c r="C27" s="51">
        <v>20</v>
      </c>
      <c r="D27" s="21">
        <v>1.95</v>
      </c>
      <c r="E27" s="4">
        <f>7.9/100*30</f>
        <v>2.37</v>
      </c>
      <c r="F27" s="4">
        <f>1/100*30</f>
        <v>0.3</v>
      </c>
      <c r="G27" s="4">
        <f>48.3/100*30</f>
        <v>14.49</v>
      </c>
      <c r="H27" s="4">
        <v>70.14</v>
      </c>
    </row>
    <row r="28" spans="1:10" customHeight="1" ht="18" s="8" customFormat="1">
      <c r="A28" s="45">
        <v>300</v>
      </c>
      <c r="B28" s="25" t="s">
        <v>33</v>
      </c>
      <c r="C28" s="51">
        <v>200</v>
      </c>
      <c r="D28" s="21">
        <v>3.52</v>
      </c>
      <c r="E28" s="4">
        <v>0.1</v>
      </c>
      <c r="F28" s="4">
        <v>0.0</v>
      </c>
      <c r="G28" s="4">
        <v>20.2</v>
      </c>
      <c r="H28" s="4">
        <v>81.2</v>
      </c>
    </row>
    <row r="29" spans="1:10" customHeight="1" ht="18" s="8" customFormat="1">
      <c r="A29" s="45" t="s">
        <v>18</v>
      </c>
      <c r="B29" s="14" t="s">
        <v>34</v>
      </c>
      <c r="C29" s="30">
        <v>85</v>
      </c>
      <c r="D29" s="41">
        <v>11.56</v>
      </c>
      <c r="E29" s="17">
        <v>0.84115384615385</v>
      </c>
      <c r="F29" s="17">
        <v>0.18692307692308</v>
      </c>
      <c r="G29" s="17">
        <v>2.1426923076923</v>
      </c>
      <c r="H29" s="17">
        <v>13.62</v>
      </c>
    </row>
    <row r="30" spans="1:10" customHeight="1" ht="18">
      <c r="A30" s="45" t="s">
        <v>18</v>
      </c>
      <c r="B30" s="27" t="s">
        <v>137</v>
      </c>
      <c r="C30" s="30">
        <v>60</v>
      </c>
      <c r="D30" s="41">
        <v>13.63</v>
      </c>
      <c r="E30" s="17">
        <v>1.62</v>
      </c>
      <c r="F30" s="17">
        <v>1.58</v>
      </c>
      <c r="G30" s="17">
        <v>19.17</v>
      </c>
      <c r="H30" s="17">
        <v>97.43</v>
      </c>
    </row>
    <row r="31" spans="1:10" customHeight="1" ht="18">
      <c r="A31" s="46"/>
      <c r="B31" s="9" t="s">
        <v>20</v>
      </c>
      <c r="C31" s="50">
        <f>SUM(C26:C30)</f>
        <v>480</v>
      </c>
      <c r="D31" s="35">
        <f>SUM(D26:D30)</f>
        <v>73</v>
      </c>
      <c r="E31" s="35">
        <f>SUM(E26:E30)</f>
        <v>15.111153846154</v>
      </c>
      <c r="F31" s="35">
        <f>SUM(F26:F30)</f>
        <v>10.886923076923</v>
      </c>
      <c r="G31" s="35">
        <f>SUM(G26:G30)</f>
        <v>64.702692307692</v>
      </c>
      <c r="H31" s="35">
        <f>SUM(H26:H30)</f>
        <v>417.29</v>
      </c>
    </row>
    <row r="32" spans="1:10" customHeight="1" ht="18">
      <c r="A32" s="235" t="s">
        <v>21</v>
      </c>
      <c r="B32" s="236"/>
      <c r="C32" s="54"/>
      <c r="D32" s="36"/>
      <c r="E32" s="18"/>
      <c r="F32" s="18"/>
      <c r="G32" s="18"/>
      <c r="H32" s="18"/>
    </row>
    <row r="33" spans="1:10" customHeight="1" ht="18">
      <c r="A33" s="45">
        <v>62</v>
      </c>
      <c r="B33" s="1" t="s">
        <v>36</v>
      </c>
      <c r="C33" s="29">
        <v>200</v>
      </c>
      <c r="D33" s="21">
        <v>12.75</v>
      </c>
      <c r="E33" s="16">
        <v>5.8</v>
      </c>
      <c r="F33" s="16">
        <v>4.3</v>
      </c>
      <c r="G33" s="16">
        <v>27.8</v>
      </c>
      <c r="H33" s="4">
        <v>173.1</v>
      </c>
    </row>
    <row r="34" spans="1:10" customHeight="1" ht="18">
      <c r="A34" s="45">
        <v>158</v>
      </c>
      <c r="B34" s="25" t="s">
        <v>37</v>
      </c>
      <c r="C34" s="57">
        <v>200</v>
      </c>
      <c r="D34" s="41">
        <f>19.54+3.5+10.48+0.96+6.63</f>
        <v>41.11</v>
      </c>
      <c r="E34" s="14">
        <v>12.65</v>
      </c>
      <c r="F34" s="19">
        <f>13.2/180*220</f>
        <v>16.133333333333</v>
      </c>
      <c r="G34" s="19">
        <v>15.06</v>
      </c>
      <c r="H34" s="15">
        <v>256.04</v>
      </c>
    </row>
    <row r="35" spans="1:10" customHeight="1" ht="18">
      <c r="A35" s="45" t="s">
        <v>38</v>
      </c>
      <c r="B35" s="25" t="s">
        <v>39</v>
      </c>
      <c r="C35" s="51">
        <v>30</v>
      </c>
      <c r="D35" s="41">
        <v>6.3</v>
      </c>
      <c r="E35" s="22">
        <v>2.7</v>
      </c>
      <c r="F35" s="22">
        <v>0.45</v>
      </c>
      <c r="G35" s="22">
        <v>8.55</v>
      </c>
      <c r="H35" s="22">
        <v>58.5</v>
      </c>
    </row>
    <row r="36" spans="1:10" customHeight="1" ht="18">
      <c r="A36" s="45">
        <v>300</v>
      </c>
      <c r="B36" s="25" t="s">
        <v>40</v>
      </c>
      <c r="C36" s="51">
        <v>200</v>
      </c>
      <c r="D36" s="21">
        <v>7.09</v>
      </c>
      <c r="E36" s="22">
        <v>0.2</v>
      </c>
      <c r="F36" s="22">
        <v>0.1</v>
      </c>
      <c r="G36" s="22">
        <v>17.2</v>
      </c>
      <c r="H36" s="13">
        <v>70</v>
      </c>
    </row>
    <row r="37" spans="1:10" customHeight="1" ht="18" s="8" customFormat="1">
      <c r="A37" s="48" t="s">
        <v>27</v>
      </c>
      <c r="B37" s="4" t="s">
        <v>28</v>
      </c>
      <c r="C37" s="51">
        <v>30</v>
      </c>
      <c r="D37" s="21">
        <v>2.76</v>
      </c>
      <c r="E37" s="2">
        <f>6.6/100*30</f>
        <v>1.98</v>
      </c>
      <c r="F37" s="52">
        <f>1.2/100*30</f>
        <v>0.36</v>
      </c>
      <c r="G37" s="2">
        <f>33.4/100*30</f>
        <v>10.02</v>
      </c>
      <c r="H37" s="2">
        <v>51.24</v>
      </c>
    </row>
    <row r="38" spans="1:10" customHeight="1" ht="18" s="8" customFormat="1">
      <c r="A38" s="48" t="s">
        <v>29</v>
      </c>
      <c r="B38" s="4" t="s">
        <v>14</v>
      </c>
      <c r="C38" s="51">
        <v>25</v>
      </c>
      <c r="D38" s="21">
        <f>3.12/30*40-1.17</f>
        <v>2.99</v>
      </c>
      <c r="E38" s="4">
        <f>7.9/100*30</f>
        <v>2.37</v>
      </c>
      <c r="F38" s="4">
        <f>1/100*30</f>
        <v>0.3</v>
      </c>
      <c r="G38" s="4">
        <f>48.3/100*30</f>
        <v>14.49</v>
      </c>
      <c r="H38" s="4">
        <v>70.14</v>
      </c>
    </row>
    <row r="39" spans="1:10" customHeight="1" ht="18" s="8" customFormat="1">
      <c r="A39" s="47"/>
      <c r="B39" s="9" t="s">
        <v>20</v>
      </c>
      <c r="C39" s="50">
        <f>SUM(C33:C38)</f>
        <v>685</v>
      </c>
      <c r="D39" s="75">
        <f>SUM(D33:D38)</f>
        <v>73</v>
      </c>
      <c r="E39" s="75">
        <f>SUM(E33:E38)</f>
        <v>25.7</v>
      </c>
      <c r="F39" s="75">
        <f>SUM(F33:F38)</f>
        <v>21.643333333333</v>
      </c>
      <c r="G39" s="75">
        <f>SUM(G33:G38)</f>
        <v>93.12</v>
      </c>
      <c r="H39" s="75">
        <f>SUM(H33:H38)</f>
        <v>679.02</v>
      </c>
    </row>
    <row r="40" spans="1:10" customHeight="1" ht="18">
      <c r="A40" s="47"/>
      <c r="B40" s="3" t="s">
        <v>30</v>
      </c>
      <c r="C40" s="50"/>
      <c r="D40" s="35"/>
      <c r="E40" s="35">
        <f>E31+E39</f>
        <v>40.811153846154</v>
      </c>
      <c r="F40" s="35">
        <f>F31+F39</f>
        <v>32.530256410256</v>
      </c>
      <c r="G40" s="35">
        <f>G31+G39</f>
        <v>157.82269230769</v>
      </c>
      <c r="H40" s="35">
        <f>H31+H39</f>
        <v>1096.31</v>
      </c>
    </row>
    <row r="41" spans="1:10" customHeight="1" ht="30">
      <c r="A41" s="238" t="s">
        <v>41</v>
      </c>
      <c r="B41" s="238"/>
      <c r="C41" s="53"/>
      <c r="D41" s="23"/>
      <c r="E41" s="23"/>
      <c r="F41" s="23"/>
      <c r="G41" s="23"/>
      <c r="H41" s="23"/>
    </row>
    <row r="42" spans="1:10" customHeight="1" ht="15.75">
      <c r="A42" s="240" t="s">
        <v>42</v>
      </c>
      <c r="B42" s="240"/>
      <c r="C42" s="44"/>
      <c r="D42" s="36"/>
      <c r="E42" s="18"/>
      <c r="F42" s="18"/>
      <c r="G42" s="18"/>
      <c r="H42" s="18"/>
    </row>
    <row r="43" spans="1:10" customHeight="1" ht="18">
      <c r="A43" s="45">
        <v>208</v>
      </c>
      <c r="B43" s="4" t="s">
        <v>138</v>
      </c>
      <c r="C43" s="51">
        <v>200</v>
      </c>
      <c r="D43" s="41">
        <v>29.11</v>
      </c>
      <c r="E43" s="17">
        <f>8.2716049382716+3.04</f>
        <v>11.311604938272</v>
      </c>
      <c r="F43" s="17">
        <f>12.744938271605+1.18</f>
        <v>13.924938271605</v>
      </c>
      <c r="G43" s="17">
        <f>40.246913580247-27.11</f>
        <v>13.136913580247</v>
      </c>
      <c r="H43" s="73">
        <v>223.12</v>
      </c>
    </row>
    <row r="44" spans="1:10" customHeight="1" ht="18">
      <c r="A44" s="48" t="s">
        <v>29</v>
      </c>
      <c r="B44" s="4" t="s">
        <v>139</v>
      </c>
      <c r="C44" s="51">
        <v>40</v>
      </c>
      <c r="D44" s="21">
        <f>27.7-1.17</f>
        <v>26.53</v>
      </c>
      <c r="E44" s="4">
        <f>7.9/100*30</f>
        <v>2.37</v>
      </c>
      <c r="F44" s="4">
        <f>1/100*30</f>
        <v>0.3</v>
      </c>
      <c r="G44" s="4">
        <f>48.3/100*30</f>
        <v>14.49</v>
      </c>
      <c r="H44" s="4">
        <v>70.14</v>
      </c>
    </row>
    <row r="45" spans="1:10" customHeight="1" ht="18">
      <c r="A45" s="45" t="s">
        <v>18</v>
      </c>
      <c r="B45" s="14" t="s">
        <v>34</v>
      </c>
      <c r="C45" s="30">
        <v>50</v>
      </c>
      <c r="D45" s="41">
        <v>13.841666666667</v>
      </c>
      <c r="E45" s="17">
        <v>0.70096153846154</v>
      </c>
      <c r="F45" s="17">
        <v>0.15576923076923</v>
      </c>
      <c r="G45" s="17">
        <v>1.7855769230769</v>
      </c>
      <c r="H45" s="17">
        <v>11.35</v>
      </c>
    </row>
    <row r="46" spans="1:10" customHeight="1" ht="18">
      <c r="A46" s="45">
        <v>300</v>
      </c>
      <c r="B46" s="25" t="s">
        <v>33</v>
      </c>
      <c r="C46" s="51">
        <v>200</v>
      </c>
      <c r="D46" s="21">
        <v>3.52</v>
      </c>
      <c r="E46" s="4">
        <v>0.1</v>
      </c>
      <c r="F46" s="4">
        <v>0.0</v>
      </c>
      <c r="G46" s="4">
        <v>20.2</v>
      </c>
      <c r="H46" s="4">
        <v>81.2</v>
      </c>
    </row>
    <row r="47" spans="1:10" customHeight="1" ht="18">
      <c r="A47" s="47"/>
      <c r="B47" s="9" t="s">
        <v>20</v>
      </c>
      <c r="C47" s="50">
        <f>SUM(C43:C46)</f>
        <v>490</v>
      </c>
      <c r="D47" s="35">
        <f>SUM(D43:D46)</f>
        <v>73.001666666667</v>
      </c>
      <c r="E47" s="5">
        <f>SUM(E43:E46)</f>
        <v>14.482566476733</v>
      </c>
      <c r="F47" s="5">
        <f>SUM(F43:F46)</f>
        <v>14.380707502374</v>
      </c>
      <c r="G47" s="5">
        <f>SUM(G43:G46)</f>
        <v>49.612490503324</v>
      </c>
      <c r="H47" s="5">
        <f>SUM(H43:H46)</f>
        <v>385.81</v>
      </c>
    </row>
    <row r="48" spans="1:10" customHeight="1" ht="18">
      <c r="A48" s="235" t="s">
        <v>21</v>
      </c>
      <c r="B48" s="236"/>
      <c r="C48" s="54"/>
      <c r="D48" s="36"/>
      <c r="E48" s="18"/>
      <c r="F48" s="18"/>
      <c r="G48" s="18"/>
      <c r="H48" s="18"/>
    </row>
    <row r="49" spans="1:10" customHeight="1" ht="18">
      <c r="A49" s="45">
        <v>55</v>
      </c>
      <c r="B49" s="20" t="s">
        <v>45</v>
      </c>
      <c r="C49" s="29">
        <v>200</v>
      </c>
      <c r="D49" s="41">
        <v>12.75</v>
      </c>
      <c r="E49" s="19">
        <f>8.25</f>
        <v>8.25</v>
      </c>
      <c r="F49" s="19">
        <v>9.7</v>
      </c>
      <c r="G49" s="19">
        <v>31.8</v>
      </c>
      <c r="H49" s="19">
        <v>247.5</v>
      </c>
    </row>
    <row r="50" spans="1:10" customHeight="1" ht="18">
      <c r="A50" s="45">
        <v>158</v>
      </c>
      <c r="B50" s="25" t="s">
        <v>140</v>
      </c>
      <c r="C50" s="57">
        <v>90</v>
      </c>
      <c r="D50" s="41">
        <v>35.52</v>
      </c>
      <c r="E50" s="14">
        <f>12.65-4.6</f>
        <v>8.05</v>
      </c>
      <c r="F50" s="19">
        <f>13.2/180*220-5</f>
        <v>11.133333333333</v>
      </c>
      <c r="G50" s="19">
        <v>15.06</v>
      </c>
      <c r="H50" s="15">
        <v>192.64</v>
      </c>
    </row>
    <row r="51" spans="1:10" customHeight="1" ht="18">
      <c r="A51" s="45">
        <v>146</v>
      </c>
      <c r="B51" s="25" t="s">
        <v>141</v>
      </c>
      <c r="C51" s="51">
        <v>150</v>
      </c>
      <c r="D51" s="96">
        <f>16.5-4.21</f>
        <v>12.29</v>
      </c>
      <c r="E51" s="107">
        <v>4.7502222222222</v>
      </c>
      <c r="F51" s="107">
        <v>2.46</v>
      </c>
      <c r="G51" s="107">
        <v>21.473333333333</v>
      </c>
      <c r="H51" s="107">
        <v>127.03333333333</v>
      </c>
    </row>
    <row r="52" spans="1:10" customHeight="1" ht="18" s="8" customFormat="1">
      <c r="A52" s="45">
        <v>300</v>
      </c>
      <c r="B52" s="105" t="s">
        <v>26</v>
      </c>
      <c r="C52" s="51">
        <v>200</v>
      </c>
      <c r="D52" s="21">
        <v>7.73</v>
      </c>
      <c r="E52" s="4">
        <v>0.1</v>
      </c>
      <c r="F52" s="4">
        <v>0.0</v>
      </c>
      <c r="G52" s="4">
        <v>20.2</v>
      </c>
      <c r="H52" s="4">
        <v>81.2</v>
      </c>
    </row>
    <row r="53" spans="1:10" customHeight="1" ht="18" s="8" customFormat="1">
      <c r="A53" s="48" t="s">
        <v>27</v>
      </c>
      <c r="B53" s="4" t="s">
        <v>28</v>
      </c>
      <c r="C53" s="51">
        <v>30</v>
      </c>
      <c r="D53" s="21">
        <v>2.76</v>
      </c>
      <c r="E53" s="2">
        <f>6.6/100*30</f>
        <v>1.98</v>
      </c>
      <c r="F53" s="52">
        <f>1.2/100*30</f>
        <v>0.36</v>
      </c>
      <c r="G53" s="2">
        <f>33.4/100*30</f>
        <v>10.02</v>
      </c>
      <c r="H53" s="2">
        <v>51.24</v>
      </c>
    </row>
    <row r="54" spans="1:10" customHeight="1" ht="18" s="8" customFormat="1">
      <c r="A54" s="48" t="s">
        <v>29</v>
      </c>
      <c r="B54" s="4" t="s">
        <v>14</v>
      </c>
      <c r="C54" s="51">
        <v>20</v>
      </c>
      <c r="D54" s="21">
        <f>2.08-0.13</f>
        <v>1.95</v>
      </c>
      <c r="E54" s="4">
        <f>7.9/100*30</f>
        <v>2.37</v>
      </c>
      <c r="F54" s="4">
        <f>1/100*30</f>
        <v>0.3</v>
      </c>
      <c r="G54" s="4">
        <f>48.3/100*30</f>
        <v>14.49</v>
      </c>
      <c r="H54" s="4">
        <v>70.14</v>
      </c>
    </row>
    <row r="55" spans="1:10" customHeight="1" ht="18">
      <c r="A55" s="47"/>
      <c r="B55" s="9" t="s">
        <v>20</v>
      </c>
      <c r="C55" s="50">
        <f>SUM(C49:C54)</f>
        <v>690</v>
      </c>
      <c r="D55" s="35">
        <f>SUM(D49:D54)</f>
        <v>73</v>
      </c>
      <c r="E55" s="5">
        <f>SUM(E49:E53)</f>
        <v>23.130222222222</v>
      </c>
      <c r="F55" s="5">
        <f>SUM(F49:F53)</f>
        <v>23.653333333333</v>
      </c>
      <c r="G55" s="5">
        <f>SUM(G49:G53)</f>
        <v>98.553333333333</v>
      </c>
      <c r="H55" s="5">
        <f>SUM(H49:H53)</f>
        <v>699.61333333333</v>
      </c>
    </row>
    <row r="56" spans="1:10" customHeight="1" ht="18">
      <c r="A56" s="47"/>
      <c r="B56" s="3" t="s">
        <v>30</v>
      </c>
      <c r="C56" s="50"/>
      <c r="D56" s="68"/>
      <c r="E56" s="68">
        <f>E47+E55</f>
        <v>37.612788698955</v>
      </c>
      <c r="F56" s="68">
        <f>F47+F55</f>
        <v>38.034040835708</v>
      </c>
      <c r="G56" s="68">
        <f>G47+G55</f>
        <v>148.16582383666</v>
      </c>
      <c r="H56" s="68">
        <f>H47+H55</f>
        <v>1085.4233333333</v>
      </c>
    </row>
    <row r="57" spans="1:10" customHeight="1" ht="18">
      <c r="A57" s="237" t="s">
        <v>48</v>
      </c>
      <c r="B57" s="238"/>
      <c r="C57" s="53"/>
      <c r="D57" s="23"/>
      <c r="E57" s="18"/>
      <c r="F57" s="18"/>
      <c r="G57" s="18"/>
      <c r="H57" s="23"/>
    </row>
    <row r="58" spans="1:10" customHeight="1" ht="18">
      <c r="A58" s="240" t="s">
        <v>42</v>
      </c>
      <c r="B58" s="240"/>
      <c r="C58" s="44"/>
      <c r="D58" s="36"/>
      <c r="E58" s="10"/>
      <c r="F58" s="18"/>
      <c r="G58" s="10"/>
      <c r="H58" s="18"/>
    </row>
    <row r="59" spans="1:10" customHeight="1" ht="18">
      <c r="A59" s="45">
        <v>96</v>
      </c>
      <c r="B59" s="1" t="s">
        <v>142</v>
      </c>
      <c r="C59" s="97">
        <v>90</v>
      </c>
      <c r="D59" s="21">
        <v>52.35</v>
      </c>
      <c r="E59" s="16">
        <f>14.02-7</f>
        <v>7.02</v>
      </c>
      <c r="F59" s="16">
        <f>9.3-1.96</f>
        <v>7.34</v>
      </c>
      <c r="G59" s="16">
        <v>7.1</v>
      </c>
      <c r="H59" s="16">
        <v>122.54</v>
      </c>
    </row>
    <row r="60" spans="1:10" customHeight="1" ht="18">
      <c r="A60" s="48" t="s">
        <v>24</v>
      </c>
      <c r="B60" s="1" t="s">
        <v>25</v>
      </c>
      <c r="C60" s="98">
        <v>180</v>
      </c>
      <c r="D60" s="41">
        <v>15.18</v>
      </c>
      <c r="E60" s="19">
        <f>12.72-6.81</f>
        <v>5.91</v>
      </c>
      <c r="F60" s="19">
        <v>8.16</v>
      </c>
      <c r="G60" s="19">
        <f>30.36-5.15</f>
        <v>25.21</v>
      </c>
      <c r="H60" s="19">
        <v>197.92</v>
      </c>
    </row>
    <row r="61" spans="1:10" customHeight="1" ht="18" s="8" customFormat="1">
      <c r="A61" s="45">
        <v>300</v>
      </c>
      <c r="B61" s="25" t="s">
        <v>33</v>
      </c>
      <c r="C61" s="99">
        <v>200</v>
      </c>
      <c r="D61" s="21">
        <v>3.52</v>
      </c>
      <c r="E61" s="4">
        <v>0.1</v>
      </c>
      <c r="F61" s="4">
        <v>0.0</v>
      </c>
      <c r="G61" s="4">
        <v>20.2</v>
      </c>
      <c r="H61" s="4">
        <v>81.2</v>
      </c>
    </row>
    <row r="62" spans="1:10" customHeight="1" ht="18">
      <c r="A62" s="48" t="s">
        <v>29</v>
      </c>
      <c r="B62" s="4" t="s">
        <v>14</v>
      </c>
      <c r="C62" s="51">
        <v>20</v>
      </c>
      <c r="D62" s="21">
        <f>2.08-0.13</f>
        <v>1.95</v>
      </c>
      <c r="E62" s="4">
        <f>7.9/100*30</f>
        <v>2.37</v>
      </c>
      <c r="F62" s="4">
        <f>1/100*30</f>
        <v>0.3</v>
      </c>
      <c r="G62" s="4">
        <f>48.3/100*30</f>
        <v>14.49</v>
      </c>
      <c r="H62" s="4">
        <v>70.14</v>
      </c>
    </row>
    <row r="63" spans="1:10" customHeight="1" ht="18">
      <c r="A63" s="47"/>
      <c r="B63" s="9" t="s">
        <v>20</v>
      </c>
      <c r="C63" s="50">
        <f>SUM(C59:C62)</f>
        <v>490</v>
      </c>
      <c r="D63" s="86">
        <f>SUM(D59:D62)</f>
        <v>73</v>
      </c>
      <c r="E63" s="35">
        <f>SUM(E59:E62)</f>
        <v>15.4</v>
      </c>
      <c r="F63" s="35">
        <f>SUM(F59:F62)</f>
        <v>15.8</v>
      </c>
      <c r="G63" s="35">
        <f>SUM(G59:G62)</f>
        <v>67</v>
      </c>
      <c r="H63" s="35">
        <f>SUM(H59:H62)</f>
        <v>471.8</v>
      </c>
    </row>
    <row r="64" spans="1:10" customHeight="1" ht="18">
      <c r="A64" s="235" t="s">
        <v>21</v>
      </c>
      <c r="B64" s="236"/>
      <c r="C64" s="54"/>
      <c r="D64" s="36"/>
      <c r="E64" s="18"/>
      <c r="F64" s="18"/>
      <c r="G64" s="18"/>
      <c r="H64" s="18"/>
    </row>
    <row r="65" spans="1:10" customHeight="1" ht="15.75">
      <c r="A65" s="92" t="s">
        <v>18</v>
      </c>
      <c r="B65" s="14" t="s">
        <v>39</v>
      </c>
      <c r="C65" s="30">
        <v>20</v>
      </c>
      <c r="D65" s="96">
        <v>7</v>
      </c>
      <c r="E65" s="63">
        <v>1.8</v>
      </c>
      <c r="F65" s="63">
        <v>0.3</v>
      </c>
      <c r="G65" s="63">
        <v>5.7</v>
      </c>
      <c r="H65" s="63">
        <v>39</v>
      </c>
    </row>
    <row r="66" spans="1:10" customHeight="1" ht="18" s="8" customFormat="1">
      <c r="A66" s="45">
        <v>55</v>
      </c>
      <c r="B66" s="14" t="s">
        <v>50</v>
      </c>
      <c r="C66" s="57">
        <v>220</v>
      </c>
      <c r="D66" s="41">
        <v>16.25</v>
      </c>
      <c r="E66" s="14">
        <v>2</v>
      </c>
      <c r="F66" s="14">
        <v>9.4</v>
      </c>
      <c r="G66" s="14">
        <v>17.8</v>
      </c>
      <c r="H66" s="14">
        <v>163.8</v>
      </c>
    </row>
    <row r="67" spans="1:10" customHeight="1" ht="18" s="8" customFormat="1">
      <c r="A67" s="92">
        <v>107</v>
      </c>
      <c r="B67" s="25" t="s">
        <v>51</v>
      </c>
      <c r="C67" s="57">
        <v>90</v>
      </c>
      <c r="D67" s="21">
        <f>28.39-0.35+8+1.58-6.35+3.88</f>
        <v>35.15</v>
      </c>
      <c r="E67" s="22">
        <v>8.82</v>
      </c>
      <c r="F67" s="22">
        <f>7.2+2.84</f>
        <v>10.04</v>
      </c>
      <c r="G67" s="22">
        <v>18.78</v>
      </c>
      <c r="H67" s="22">
        <v>200.76</v>
      </c>
    </row>
    <row r="68" spans="1:10" customHeight="1" ht="18">
      <c r="A68" s="92">
        <v>227</v>
      </c>
      <c r="B68" s="1" t="s">
        <v>52</v>
      </c>
      <c r="C68" s="57">
        <v>150</v>
      </c>
      <c r="D68" s="41">
        <v>9.49</v>
      </c>
      <c r="E68" s="31">
        <v>7.1253333333333</v>
      </c>
      <c r="F68" s="31">
        <v>7.69</v>
      </c>
      <c r="G68" s="31">
        <v>21.408</v>
      </c>
      <c r="H68" s="31">
        <v>183.34</v>
      </c>
    </row>
    <row r="69" spans="1:10" customHeight="1" ht="18">
      <c r="A69" s="45">
        <v>300</v>
      </c>
      <c r="B69" s="25" t="s">
        <v>33</v>
      </c>
      <c r="C69" s="51">
        <v>200</v>
      </c>
      <c r="D69" s="21">
        <v>3.52</v>
      </c>
      <c r="E69" s="4">
        <v>0.1</v>
      </c>
      <c r="F69" s="4">
        <v>0.0</v>
      </c>
      <c r="G69" s="4">
        <v>20.2</v>
      </c>
      <c r="H69" s="4">
        <v>81.2</v>
      </c>
    </row>
    <row r="70" spans="1:10" customHeight="1" ht="18">
      <c r="A70" s="101" t="s">
        <v>27</v>
      </c>
      <c r="B70" s="4" t="s">
        <v>28</v>
      </c>
      <c r="C70" s="51">
        <v>20</v>
      </c>
      <c r="D70" s="21">
        <f>2.76-1.17</f>
        <v>1.59</v>
      </c>
      <c r="E70" s="2">
        <f>6.6/100*30</f>
        <v>1.98</v>
      </c>
      <c r="F70" s="52">
        <f>1.2/100*30</f>
        <v>0.36</v>
      </c>
      <c r="G70" s="2">
        <f>33.4/100*30</f>
        <v>10.02</v>
      </c>
      <c r="H70" s="2">
        <v>51.24</v>
      </c>
    </row>
    <row r="71" spans="1:10" customHeight="1" ht="18">
      <c r="A71" s="47"/>
      <c r="B71" s="9" t="s">
        <v>20</v>
      </c>
      <c r="C71" s="50">
        <f>SUM(C65:C70)</f>
        <v>700</v>
      </c>
      <c r="D71" s="35">
        <f>SUM(D65:D70)</f>
        <v>73</v>
      </c>
      <c r="E71" s="5">
        <f>SUM(E65:E70)</f>
        <v>21.825333333333</v>
      </c>
      <c r="F71" s="5">
        <f>SUM(F65:F70)</f>
        <v>27.79</v>
      </c>
      <c r="G71" s="5">
        <f>SUM(G65:G70)</f>
        <v>93.908</v>
      </c>
      <c r="H71" s="5">
        <f>SUM(H65:H70)</f>
        <v>719.34</v>
      </c>
    </row>
    <row r="72" spans="1:10" customHeight="1" ht="18">
      <c r="A72" s="47"/>
      <c r="B72" s="3" t="s">
        <v>30</v>
      </c>
      <c r="C72" s="50"/>
      <c r="D72" s="64"/>
      <c r="E72" s="6">
        <f>E63+E71</f>
        <v>37.225333333333</v>
      </c>
      <c r="F72" s="6">
        <f>F63+F71</f>
        <v>43.59</v>
      </c>
      <c r="G72" s="6">
        <f>G63+G71</f>
        <v>160.908</v>
      </c>
      <c r="H72" s="6">
        <f>H63+H71</f>
        <v>1191.14</v>
      </c>
    </row>
    <row r="73" spans="1:10" customHeight="1" ht="18">
      <c r="A73" s="237" t="s">
        <v>54</v>
      </c>
      <c r="B73" s="238"/>
      <c r="C73" s="53"/>
      <c r="D73" s="23"/>
      <c r="E73" s="23"/>
      <c r="F73" s="23"/>
      <c r="G73" s="23"/>
      <c r="H73" s="23"/>
    </row>
    <row r="74" spans="1:10" customHeight="1" ht="18">
      <c r="A74" s="240" t="s">
        <v>42</v>
      </c>
      <c r="B74" s="240"/>
      <c r="C74" s="44"/>
      <c r="D74" s="36"/>
      <c r="E74" s="18"/>
      <c r="F74" s="10"/>
      <c r="G74" s="10"/>
      <c r="H74" s="18"/>
    </row>
    <row r="75" spans="1:10" customHeight="1" ht="18">
      <c r="A75" s="92">
        <v>110</v>
      </c>
      <c r="B75" s="93" t="s">
        <v>55</v>
      </c>
      <c r="C75" s="60">
        <v>90</v>
      </c>
      <c r="D75" s="38">
        <f>40.65+4.6-3.12</f>
        <v>42.13</v>
      </c>
      <c r="E75" s="31">
        <f>6.9+3.28</f>
        <v>10.18</v>
      </c>
      <c r="F75" s="31">
        <f>10.1-1.28</f>
        <v>8.82</v>
      </c>
      <c r="G75" s="31">
        <v>8.7</v>
      </c>
      <c r="H75" s="31">
        <v>154.9</v>
      </c>
    </row>
    <row r="76" spans="1:10" customHeight="1" ht="18">
      <c r="A76" s="92">
        <v>227</v>
      </c>
      <c r="B76" s="93" t="s">
        <v>56</v>
      </c>
      <c r="C76" s="51">
        <v>120</v>
      </c>
      <c r="D76" s="41">
        <v>11.77</v>
      </c>
      <c r="E76" s="17">
        <v>3.5</v>
      </c>
      <c r="F76" s="17">
        <v>5.4</v>
      </c>
      <c r="G76" s="17">
        <f>31-12</f>
        <v>19</v>
      </c>
      <c r="H76" s="17">
        <v>138.6</v>
      </c>
    </row>
    <row r="77" spans="1:10" customHeight="1" ht="18">
      <c r="A77" s="48" t="s">
        <v>29</v>
      </c>
      <c r="B77" s="4" t="s">
        <v>14</v>
      </c>
      <c r="C77" s="51">
        <v>20</v>
      </c>
      <c r="D77" s="21">
        <f>2.08-0.13</f>
        <v>1.95</v>
      </c>
      <c r="E77" s="4">
        <f>7.9/100*30</f>
        <v>2.37</v>
      </c>
      <c r="F77" s="4">
        <f>1/100*30</f>
        <v>0.3</v>
      </c>
      <c r="G77" s="4">
        <f>48.3/100*30</f>
        <v>14.49</v>
      </c>
      <c r="H77" s="4">
        <v>70.14</v>
      </c>
    </row>
    <row r="78" spans="1:10" customHeight="1" ht="18">
      <c r="A78" s="45">
        <v>300</v>
      </c>
      <c r="B78" s="25" t="s">
        <v>33</v>
      </c>
      <c r="C78" s="99">
        <v>200</v>
      </c>
      <c r="D78" s="21">
        <v>3.52</v>
      </c>
      <c r="E78" s="4">
        <v>0.1</v>
      </c>
      <c r="F78" s="4">
        <v>0.0</v>
      </c>
      <c r="G78" s="4">
        <v>20.2</v>
      </c>
      <c r="H78" s="4">
        <v>81.2</v>
      </c>
    </row>
    <row r="79" spans="1:10" customHeight="1" ht="18">
      <c r="A79" s="45" t="s">
        <v>18</v>
      </c>
      <c r="B79" s="27" t="s">
        <v>143</v>
      </c>
      <c r="C79" s="30">
        <v>60</v>
      </c>
      <c r="D79" s="41">
        <v>13.63</v>
      </c>
      <c r="E79" s="17">
        <v>1.62</v>
      </c>
      <c r="F79" s="17">
        <v>1.58</v>
      </c>
      <c r="G79" s="17">
        <v>19.17</v>
      </c>
      <c r="H79" s="17">
        <v>97.43</v>
      </c>
    </row>
    <row r="80" spans="1:10" customHeight="1" ht="18">
      <c r="A80" s="47"/>
      <c r="B80" s="9" t="s">
        <v>20</v>
      </c>
      <c r="C80" s="50">
        <f>SUM(C75:C79)</f>
        <v>490</v>
      </c>
      <c r="D80" s="35">
        <f>SUM(D75:D79)</f>
        <v>73</v>
      </c>
      <c r="E80" s="5">
        <f>SUM(E75:E79)</f>
        <v>17.77</v>
      </c>
      <c r="F80" s="5">
        <f>SUM(F75:F79)</f>
        <v>16.1</v>
      </c>
      <c r="G80" s="5">
        <f>SUM(G75:G79)</f>
        <v>81.56</v>
      </c>
      <c r="H80" s="5">
        <f>SUM(H75:H79)</f>
        <v>542.27</v>
      </c>
    </row>
    <row r="81" spans="1:10" customHeight="1" ht="18">
      <c r="A81" s="235" t="s">
        <v>21</v>
      </c>
      <c r="B81" s="236"/>
      <c r="C81" s="54"/>
      <c r="D81" s="36"/>
      <c r="E81" s="18"/>
      <c r="F81" s="18"/>
      <c r="G81" s="18"/>
      <c r="H81" s="18"/>
    </row>
    <row r="82" spans="1:10" customHeight="1" ht="18">
      <c r="A82" s="45">
        <v>65</v>
      </c>
      <c r="B82" s="20" t="s">
        <v>57</v>
      </c>
      <c r="C82" s="62">
        <v>250</v>
      </c>
      <c r="D82" s="38">
        <v>11.75</v>
      </c>
      <c r="E82" s="13">
        <v>7.3</v>
      </c>
      <c r="F82" s="13">
        <f>4.4+3</f>
        <v>7.4</v>
      </c>
      <c r="G82" s="13">
        <v>27.8</v>
      </c>
      <c r="H82" s="13">
        <v>207</v>
      </c>
    </row>
    <row r="83" spans="1:10" customHeight="1" ht="18">
      <c r="A83" s="45">
        <v>259</v>
      </c>
      <c r="B83" s="25" t="s">
        <v>58</v>
      </c>
      <c r="C83" s="56">
        <v>220</v>
      </c>
      <c r="D83" s="21">
        <v>52.57</v>
      </c>
      <c r="E83" s="63">
        <v>14.5</v>
      </c>
      <c r="F83" s="63">
        <f>18.8-2.96</f>
        <v>15.84</v>
      </c>
      <c r="G83" s="63">
        <v>42.87</v>
      </c>
      <c r="H83" s="63">
        <v>372.04</v>
      </c>
    </row>
    <row r="84" spans="1:10" customHeight="1" ht="18" s="8" customFormat="1">
      <c r="A84" s="45">
        <v>300</v>
      </c>
      <c r="B84" s="25" t="s">
        <v>40</v>
      </c>
      <c r="C84" s="51">
        <v>200</v>
      </c>
      <c r="D84" s="21">
        <v>7.09</v>
      </c>
      <c r="E84" s="22">
        <v>0.2</v>
      </c>
      <c r="F84" s="22">
        <v>0.1</v>
      </c>
      <c r="G84" s="22">
        <v>17.2</v>
      </c>
      <c r="H84" s="13">
        <v>70</v>
      </c>
    </row>
    <row r="85" spans="1:10" customHeight="1" ht="18" s="8" customFormat="1">
      <c r="A85" s="48" t="s">
        <v>27</v>
      </c>
      <c r="B85" s="4" t="s">
        <v>28</v>
      </c>
      <c r="C85" s="51">
        <v>20</v>
      </c>
      <c r="D85" s="21">
        <f>2.76-1.17</f>
        <v>1.59</v>
      </c>
      <c r="E85" s="2">
        <f>6.6/100*30</f>
        <v>1.98</v>
      </c>
      <c r="F85" s="52">
        <f>1.2/100*30</f>
        <v>0.36</v>
      </c>
      <c r="G85" s="2">
        <f>33.4/100*30</f>
        <v>10.02</v>
      </c>
      <c r="H85" s="2">
        <v>51.24</v>
      </c>
    </row>
    <row r="86" spans="1:10" customHeight="1" ht="18">
      <c r="A86" s="47"/>
      <c r="B86" s="9" t="s">
        <v>20</v>
      </c>
      <c r="C86" s="50">
        <f>SUM(C82:C85)</f>
        <v>690</v>
      </c>
      <c r="D86" s="35">
        <f>SUM(D82:D85)</f>
        <v>73</v>
      </c>
      <c r="E86" s="5">
        <f>SUM(E82:E85)</f>
        <v>23.98</v>
      </c>
      <c r="F86" s="5">
        <f>SUM(F82:F85)</f>
        <v>23.7</v>
      </c>
      <c r="G86" s="5">
        <f>SUM(G82:G85)</f>
        <v>97.89</v>
      </c>
      <c r="H86" s="5">
        <f>SUM(H82:H85)</f>
        <v>700.28</v>
      </c>
    </row>
    <row r="87" spans="1:10" customHeight="1" ht="18">
      <c r="A87" s="45"/>
      <c r="B87" s="102" t="s">
        <v>20</v>
      </c>
      <c r="C87" s="103">
        <f>SUM(C82:C86)</f>
        <v>1380</v>
      </c>
      <c r="D87" s="104">
        <f>SUM(D82:D86)</f>
        <v>146</v>
      </c>
      <c r="E87" s="5">
        <f>SUM(E82:E86)</f>
        <v>47.96</v>
      </c>
      <c r="F87" s="5">
        <f>SUM(F82:F86)</f>
        <v>47.4</v>
      </c>
      <c r="G87" s="5">
        <f>SUM(G82:G86)</f>
        <v>195.78</v>
      </c>
      <c r="H87" s="5">
        <f>SUM(H82:H86)</f>
        <v>1400.56</v>
      </c>
    </row>
    <row r="88" spans="1:10" customHeight="1" ht="18">
      <c r="A88" s="47"/>
      <c r="B88" s="3" t="s">
        <v>30</v>
      </c>
      <c r="C88" s="50"/>
      <c r="D88" s="35"/>
      <c r="E88" s="6">
        <f>E80+E87</f>
        <v>65.73</v>
      </c>
      <c r="F88" s="6">
        <f>F80+F87</f>
        <v>63.5</v>
      </c>
      <c r="G88" s="6">
        <f>G80+G87</f>
        <v>277.34</v>
      </c>
      <c r="H88" s="6">
        <f>H80+H87</f>
        <v>1942.83</v>
      </c>
    </row>
    <row r="89" spans="1:10" customHeight="1" ht="18">
      <c r="A89" s="237" t="s">
        <v>59</v>
      </c>
      <c r="B89" s="238"/>
      <c r="C89" s="53"/>
      <c r="D89" s="23"/>
      <c r="E89" s="23"/>
      <c r="F89" s="23"/>
      <c r="G89" s="23"/>
      <c r="H89" s="23"/>
    </row>
    <row r="90" spans="1:10" customHeight="1" ht="18">
      <c r="A90" s="240" t="s">
        <v>42</v>
      </c>
      <c r="B90" s="240"/>
      <c r="C90" s="44"/>
      <c r="D90" s="36"/>
      <c r="E90" s="18"/>
      <c r="F90" s="18"/>
      <c r="G90" s="18"/>
      <c r="H90" s="18"/>
    </row>
    <row r="91" spans="1:10" customHeight="1" ht="18">
      <c r="A91" s="45">
        <v>208</v>
      </c>
      <c r="B91" s="4" t="s">
        <v>144</v>
      </c>
      <c r="C91" s="51">
        <v>200</v>
      </c>
      <c r="D91" s="41">
        <v>37.09</v>
      </c>
      <c r="E91" s="17">
        <f>8.2716049382716+1.86+2</f>
        <v>12.131604938272</v>
      </c>
      <c r="F91" s="17">
        <f>13.744938271605</f>
        <v>13.744938271605</v>
      </c>
      <c r="G91" s="17">
        <f>40.246913580247-2.64-16</f>
        <v>21.606913580247</v>
      </c>
      <c r="H91" s="73">
        <v>258.66</v>
      </c>
    </row>
    <row r="92" spans="1:10" customHeight="1" ht="18">
      <c r="A92" s="48" t="s">
        <v>29</v>
      </c>
      <c r="B92" s="4" t="s">
        <v>14</v>
      </c>
      <c r="C92" s="51">
        <v>20</v>
      </c>
      <c r="D92" s="21">
        <f>2.08-0.13</f>
        <v>1.95</v>
      </c>
      <c r="E92" s="4">
        <f>7.9/100*30</f>
        <v>2.37</v>
      </c>
      <c r="F92" s="4">
        <f>1/100*30</f>
        <v>0.3</v>
      </c>
      <c r="G92" s="4">
        <f>48.3/100*30</f>
        <v>14.49</v>
      </c>
      <c r="H92" s="4">
        <v>70.14</v>
      </c>
    </row>
    <row r="93" spans="1:10" customHeight="1" ht="31.5">
      <c r="A93" s="45" t="s">
        <v>18</v>
      </c>
      <c r="B93" s="27" t="s">
        <v>145</v>
      </c>
      <c r="C93" s="30">
        <v>60</v>
      </c>
      <c r="D93" s="41">
        <v>13.63</v>
      </c>
      <c r="E93" s="17">
        <v>1.62</v>
      </c>
      <c r="F93" s="17">
        <v>1.58</v>
      </c>
      <c r="G93" s="17">
        <v>19.17</v>
      </c>
      <c r="H93" s="17">
        <v>97.43</v>
      </c>
    </row>
    <row r="94" spans="1:10" customHeight="1" ht="15.75">
      <c r="A94" s="45">
        <v>300</v>
      </c>
      <c r="B94" s="25" t="s">
        <v>61</v>
      </c>
      <c r="C94" s="51">
        <v>200</v>
      </c>
      <c r="D94" s="21">
        <v>3.52</v>
      </c>
      <c r="E94" s="4">
        <v>0.1</v>
      </c>
      <c r="F94" s="4">
        <v>0.0</v>
      </c>
      <c r="G94" s="4">
        <v>20.2</v>
      </c>
      <c r="H94" s="4">
        <v>81.2</v>
      </c>
    </row>
    <row r="95" spans="1:10" customHeight="1" ht="18">
      <c r="A95" s="45" t="s">
        <v>18</v>
      </c>
      <c r="B95" s="14" t="s">
        <v>34</v>
      </c>
      <c r="C95" s="30">
        <v>60</v>
      </c>
      <c r="D95" s="41">
        <f>13.952307692308+5.98-3.12</f>
        <v>16.812307692308</v>
      </c>
      <c r="E95" s="17">
        <v>0.84115384615385</v>
      </c>
      <c r="F95" s="17">
        <v>0.18692307692308</v>
      </c>
      <c r="G95" s="17">
        <v>2.1426923076923</v>
      </c>
      <c r="H95" s="17">
        <v>13.62</v>
      </c>
    </row>
    <row r="96" spans="1:10" customHeight="1" ht="18">
      <c r="A96" s="45"/>
      <c r="B96" s="9" t="s">
        <v>20</v>
      </c>
      <c r="C96" s="50">
        <f>SUM(C91:C95)</f>
        <v>540</v>
      </c>
      <c r="D96" s="35">
        <f>SUM(D91:D95)</f>
        <v>73.002307692308</v>
      </c>
      <c r="E96" s="35">
        <f>SUM(E91:E95)</f>
        <v>17.062758784425</v>
      </c>
      <c r="F96" s="35">
        <f>SUM(F91:F95)</f>
        <v>15.811861348528</v>
      </c>
      <c r="G96" s="35">
        <f>SUM(G91:G95)</f>
        <v>77.609605887939</v>
      </c>
      <c r="H96" s="35">
        <f>SUM(H91:H95)</f>
        <v>521.05</v>
      </c>
    </row>
    <row r="97" spans="1:10" customHeight="1" ht="18">
      <c r="A97" s="235" t="s">
        <v>21</v>
      </c>
      <c r="B97" s="236"/>
      <c r="C97" s="34"/>
      <c r="D97" s="36"/>
      <c r="E97" s="18"/>
      <c r="F97" s="18"/>
      <c r="G97" s="18"/>
      <c r="H97" s="18"/>
    </row>
    <row r="98" spans="1:10" customHeight="1" ht="18">
      <c r="A98" s="45">
        <v>62</v>
      </c>
      <c r="B98" s="87" t="s">
        <v>62</v>
      </c>
      <c r="C98" s="58">
        <v>220</v>
      </c>
      <c r="D98" s="41">
        <v>14.025</v>
      </c>
      <c r="E98" s="16">
        <v>6.38</v>
      </c>
      <c r="F98" s="16">
        <v>4.73</v>
      </c>
      <c r="G98" s="16">
        <v>30.58</v>
      </c>
      <c r="H98" s="16">
        <v>190.41</v>
      </c>
    </row>
    <row r="99" spans="1:10" customHeight="1" ht="18">
      <c r="A99" s="45">
        <v>107</v>
      </c>
      <c r="B99" s="93" t="s">
        <v>63</v>
      </c>
      <c r="C99" s="60">
        <v>90</v>
      </c>
      <c r="D99" s="21">
        <f>36.51+3.12+2.22</f>
        <v>41.85</v>
      </c>
      <c r="E99" s="22">
        <f>8.82+3</f>
        <v>11.82</v>
      </c>
      <c r="F99" s="22">
        <f>7.2+2.84+4</f>
        <v>14.04</v>
      </c>
      <c r="G99" s="22">
        <f>6.3+4.48</f>
        <v>10.78</v>
      </c>
      <c r="H99" s="22">
        <v>216.76</v>
      </c>
    </row>
    <row r="100" spans="1:10" customHeight="1" ht="18" s="8" customFormat="1">
      <c r="A100" s="45">
        <v>227</v>
      </c>
      <c r="B100" s="1" t="s">
        <v>52</v>
      </c>
      <c r="C100" s="57">
        <v>150</v>
      </c>
      <c r="D100" s="41">
        <v>9.49</v>
      </c>
      <c r="E100" s="31">
        <v>7.1253333333333</v>
      </c>
      <c r="F100" s="31">
        <v>7.69</v>
      </c>
      <c r="G100" s="31">
        <v>21.408</v>
      </c>
      <c r="H100" s="31">
        <v>183.34</v>
      </c>
    </row>
    <row r="101" spans="1:10" customHeight="1" ht="18">
      <c r="A101" s="45">
        <v>311</v>
      </c>
      <c r="B101" s="13" t="s">
        <v>64</v>
      </c>
      <c r="C101" s="30">
        <v>200</v>
      </c>
      <c r="D101" s="21">
        <f>5.73+0.31</f>
        <v>6.04</v>
      </c>
      <c r="E101" s="22">
        <v>0.2</v>
      </c>
      <c r="F101" s="22">
        <v>0.1</v>
      </c>
      <c r="G101" s="22">
        <v>17.2</v>
      </c>
      <c r="H101" s="13">
        <v>70</v>
      </c>
    </row>
    <row r="102" spans="1:10" customHeight="1" ht="18">
      <c r="A102" s="48" t="s">
        <v>27</v>
      </c>
      <c r="B102" s="76" t="s">
        <v>28</v>
      </c>
      <c r="C102" s="51">
        <v>20</v>
      </c>
      <c r="D102" s="21">
        <f>2.76-1.17</f>
        <v>1.59</v>
      </c>
      <c r="E102" s="2">
        <f>6.6/100*30</f>
        <v>1.98</v>
      </c>
      <c r="F102" s="52">
        <f>1.2/100*30</f>
        <v>0.36</v>
      </c>
      <c r="G102" s="2">
        <f>33.4/100*30</f>
        <v>10.02</v>
      </c>
      <c r="H102" s="2">
        <v>51.24</v>
      </c>
    </row>
    <row r="103" spans="1:10" customHeight="1" ht="18">
      <c r="A103" s="47"/>
      <c r="B103" s="9" t="s">
        <v>20</v>
      </c>
      <c r="C103" s="50">
        <f>SUM(C98:C102)</f>
        <v>680</v>
      </c>
      <c r="D103" s="35">
        <f>SUM(D98:D102)</f>
        <v>72.995</v>
      </c>
      <c r="E103" s="35">
        <f>SUM(E98:E102)</f>
        <v>27.505333333333</v>
      </c>
      <c r="F103" s="35">
        <f>SUM(F98:F102)</f>
        <v>26.92</v>
      </c>
      <c r="G103" s="35">
        <f>SUM(G98:G102)</f>
        <v>89.988</v>
      </c>
      <c r="H103" s="35">
        <f>SUM(H98:H102)</f>
        <v>711.75</v>
      </c>
    </row>
    <row r="104" spans="1:10" customHeight="1" ht="18">
      <c r="A104" s="47"/>
      <c r="B104" s="3" t="s">
        <v>30</v>
      </c>
      <c r="C104" s="50"/>
      <c r="D104" s="35"/>
      <c r="E104" s="35">
        <f>E96+E103</f>
        <v>44.568092117759</v>
      </c>
      <c r="F104" s="35">
        <f>F96+F103</f>
        <v>42.731861348528</v>
      </c>
      <c r="G104" s="35">
        <f>G96+G103</f>
        <v>167.59760588794</v>
      </c>
      <c r="H104" s="35">
        <f>H96+H103</f>
        <v>1232.8</v>
      </c>
    </row>
    <row r="105" spans="1:10" customHeight="1" ht="18">
      <c r="A105" s="237" t="s">
        <v>65</v>
      </c>
      <c r="B105" s="238"/>
      <c r="C105" s="53"/>
      <c r="D105" s="23"/>
      <c r="E105" s="23"/>
      <c r="F105" s="23"/>
      <c r="G105" s="23"/>
      <c r="H105" s="23"/>
    </row>
    <row r="106" spans="1:10" customHeight="1" ht="39.75">
      <c r="A106" s="240" t="s">
        <v>11</v>
      </c>
      <c r="B106" s="240"/>
      <c r="C106" s="44"/>
      <c r="D106" s="36"/>
      <c r="E106" s="18"/>
      <c r="F106" s="18"/>
      <c r="G106" s="18"/>
      <c r="H106" s="18"/>
    </row>
    <row r="107" spans="1:10" customHeight="1" ht="31.5">
      <c r="A107" s="45">
        <v>241</v>
      </c>
      <c r="B107" s="27" t="s">
        <v>146</v>
      </c>
      <c r="C107" s="51">
        <v>130</v>
      </c>
      <c r="D107" s="108">
        <f>37.6-0.35+0.02</f>
        <v>37.27</v>
      </c>
      <c r="E107" s="108">
        <v>11.6</v>
      </c>
      <c r="F107" s="108">
        <v>15.2</v>
      </c>
      <c r="G107" s="108">
        <f>7.2+25.47-8.4</f>
        <v>24.27</v>
      </c>
      <c r="H107" s="108">
        <v>280.28</v>
      </c>
    </row>
    <row r="108" spans="1:10" customHeight="1" ht="18">
      <c r="A108" s="45" t="s">
        <v>18</v>
      </c>
      <c r="B108" s="14" t="s">
        <v>67</v>
      </c>
      <c r="C108" s="30">
        <v>40</v>
      </c>
      <c r="D108" s="41">
        <f>9.95-1.17</f>
        <v>8.78</v>
      </c>
      <c r="E108" s="17">
        <v>1.62</v>
      </c>
      <c r="F108" s="17">
        <v>1.58</v>
      </c>
      <c r="G108" s="17">
        <v>19.17</v>
      </c>
      <c r="H108" s="17">
        <v>97.43</v>
      </c>
    </row>
    <row r="109" spans="1:10" customHeight="1" ht="18">
      <c r="A109" s="45">
        <v>300</v>
      </c>
      <c r="B109" s="25" t="s">
        <v>33</v>
      </c>
      <c r="C109" s="51">
        <v>200</v>
      </c>
      <c r="D109" s="109">
        <v>3.52</v>
      </c>
      <c r="E109" s="108">
        <v>0.1</v>
      </c>
      <c r="F109" s="108">
        <v>0.0</v>
      </c>
      <c r="G109" s="108">
        <v>20.2</v>
      </c>
      <c r="H109" s="108">
        <v>81.2</v>
      </c>
    </row>
    <row r="110" spans="1:10" customHeight="1" ht="18">
      <c r="A110" s="45" t="s">
        <v>18</v>
      </c>
      <c r="B110" s="14" t="s">
        <v>34</v>
      </c>
      <c r="C110" s="30">
        <v>120</v>
      </c>
      <c r="D110" s="108">
        <f>30.23/130*110-2.15</f>
        <v>23.429230769231</v>
      </c>
      <c r="E110" s="108">
        <v>1.5421153846154</v>
      </c>
      <c r="F110" s="108">
        <v>0.34269230769231</v>
      </c>
      <c r="G110" s="108">
        <v>3.9282692307692</v>
      </c>
      <c r="H110" s="108">
        <v>24.97</v>
      </c>
    </row>
    <row r="111" spans="1:10" customHeight="1" ht="18">
      <c r="A111" s="47"/>
      <c r="B111" s="9" t="s">
        <v>20</v>
      </c>
      <c r="C111" s="50">
        <f>SUM(C107:C110)</f>
        <v>490</v>
      </c>
      <c r="D111" s="35">
        <f>SUM(D107:D110)</f>
        <v>72.999230769231</v>
      </c>
      <c r="E111" s="35">
        <f>SUM(E107:E110)</f>
        <v>14.862115384615</v>
      </c>
      <c r="F111" s="35">
        <f>SUM(F107:F110)</f>
        <v>17.122692307692</v>
      </c>
      <c r="G111" s="35">
        <f>SUM(G107:G110)</f>
        <v>67.568269230769</v>
      </c>
      <c r="H111" s="35">
        <f>SUM(H107:H110)</f>
        <v>483.88</v>
      </c>
    </row>
    <row r="112" spans="1:10" customHeight="1" ht="18">
      <c r="A112" s="236" t="s">
        <v>21</v>
      </c>
      <c r="B112" s="236"/>
      <c r="C112" s="34"/>
      <c r="D112" s="36"/>
      <c r="E112" s="18"/>
      <c r="F112" s="18"/>
      <c r="G112" s="18"/>
      <c r="H112" s="18"/>
    </row>
    <row r="113" spans="1:10" customHeight="1" ht="18">
      <c r="A113" s="45">
        <v>55</v>
      </c>
      <c r="B113" s="14" t="s">
        <v>50</v>
      </c>
      <c r="C113" s="57">
        <v>220</v>
      </c>
      <c r="D113" s="41">
        <v>16.25</v>
      </c>
      <c r="E113" s="14">
        <v>2</v>
      </c>
      <c r="F113" s="14">
        <v>9.4</v>
      </c>
      <c r="G113" s="14">
        <v>17.8</v>
      </c>
      <c r="H113" s="14">
        <v>163.8</v>
      </c>
    </row>
    <row r="114" spans="1:10" customHeight="1" ht="18" s="8" customFormat="1">
      <c r="A114" s="48" t="s">
        <v>68</v>
      </c>
      <c r="B114" s="1" t="s">
        <v>69</v>
      </c>
      <c r="C114" s="56">
        <v>90</v>
      </c>
      <c r="D114" s="21">
        <v>45.64</v>
      </c>
      <c r="E114" s="63">
        <v>8.8</v>
      </c>
      <c r="F114" s="31">
        <v>9.3</v>
      </c>
      <c r="G114" s="31">
        <v>14.1</v>
      </c>
      <c r="H114" s="31">
        <v>175.3</v>
      </c>
    </row>
    <row r="115" spans="1:10" customHeight="1" ht="18" s="8" customFormat="1">
      <c r="A115" s="45">
        <v>227</v>
      </c>
      <c r="B115" s="32" t="s">
        <v>70</v>
      </c>
      <c r="C115" s="60">
        <v>150</v>
      </c>
      <c r="D115" s="41">
        <v>6</v>
      </c>
      <c r="E115" s="31">
        <v>6.6666666666667</v>
      </c>
      <c r="F115" s="31">
        <v>5.8666666666667</v>
      </c>
      <c r="G115" s="31">
        <f>53.333333333333-28</f>
        <v>25.333333333333</v>
      </c>
      <c r="H115" s="31">
        <v>180.8</v>
      </c>
    </row>
    <row r="116" spans="1:10" customHeight="1" ht="18">
      <c r="A116" s="45">
        <v>300</v>
      </c>
      <c r="B116" s="25" t="s">
        <v>33</v>
      </c>
      <c r="C116" s="51">
        <v>200</v>
      </c>
      <c r="D116" s="109">
        <v>3.52</v>
      </c>
      <c r="E116" s="108">
        <v>0.1</v>
      </c>
      <c r="F116" s="108">
        <v>0.0</v>
      </c>
      <c r="G116" s="108">
        <v>20.2</v>
      </c>
      <c r="H116" s="108">
        <v>81.2</v>
      </c>
    </row>
    <row r="117" spans="1:10" customHeight="1" ht="18">
      <c r="A117" s="48" t="s">
        <v>27</v>
      </c>
      <c r="B117" s="76" t="s">
        <v>28</v>
      </c>
      <c r="C117" s="51">
        <v>20</v>
      </c>
      <c r="D117" s="21">
        <f>2.76-1.17</f>
        <v>1.59</v>
      </c>
      <c r="E117" s="2">
        <f>6.6/100*30</f>
        <v>1.98</v>
      </c>
      <c r="F117" s="52">
        <f>1.2/100*30</f>
        <v>0.36</v>
      </c>
      <c r="G117" s="2">
        <f>33.4/100*30</f>
        <v>10.02</v>
      </c>
      <c r="H117" s="2">
        <v>51.24</v>
      </c>
    </row>
    <row r="118" spans="1:10" customHeight="1" ht="18">
      <c r="A118" s="47"/>
      <c r="B118" s="9" t="s">
        <v>20</v>
      </c>
      <c r="C118" s="50">
        <f>SUM(C113:C117)</f>
        <v>680</v>
      </c>
      <c r="D118" s="75">
        <f>SUM(D113:D117)</f>
        <v>73</v>
      </c>
      <c r="E118" s="110">
        <f>SUM(E113:E117)</f>
        <v>19.546666666667</v>
      </c>
      <c r="F118" s="110">
        <f>SUM(F113:F117)</f>
        <v>24.926666666667</v>
      </c>
      <c r="G118" s="110">
        <f>SUM(G113:G117)</f>
        <v>87.453333333333</v>
      </c>
      <c r="H118" s="110">
        <f>SUM(H113:H117)</f>
        <v>652.34</v>
      </c>
    </row>
    <row r="119" spans="1:10" customHeight="1" ht="18">
      <c r="A119" s="47"/>
      <c r="B119" s="3" t="s">
        <v>30</v>
      </c>
      <c r="C119" s="50"/>
      <c r="D119" s="35"/>
      <c r="E119" s="35">
        <f>E111+E118</f>
        <v>34.408782051282</v>
      </c>
      <c r="F119" s="35">
        <f>F111+F118</f>
        <v>42.049358974359</v>
      </c>
      <c r="G119" s="35">
        <f>G111+G118</f>
        <v>155.0216025641</v>
      </c>
      <c r="H119" s="35">
        <f>H111+H118</f>
        <v>1136.22</v>
      </c>
    </row>
    <row r="120" spans="1:10" customHeight="1" ht="18">
      <c r="A120" s="237" t="s">
        <v>71</v>
      </c>
      <c r="B120" s="238"/>
      <c r="C120" s="53"/>
      <c r="D120" s="23"/>
      <c r="E120" s="23"/>
      <c r="F120" s="23"/>
      <c r="G120" s="23"/>
      <c r="H120" s="23"/>
    </row>
    <row r="121" spans="1:10" customHeight="1" ht="18">
      <c r="A121" s="240" t="s">
        <v>42</v>
      </c>
      <c r="B121" s="240"/>
      <c r="C121" s="44"/>
      <c r="D121" s="36"/>
      <c r="E121" s="10"/>
      <c r="F121" s="10"/>
      <c r="G121" s="10"/>
      <c r="H121" s="18"/>
    </row>
    <row r="122" spans="1:10" customHeight="1" ht="18" s="8" customFormat="1">
      <c r="A122" s="45">
        <v>110</v>
      </c>
      <c r="B122" s="93" t="s">
        <v>72</v>
      </c>
      <c r="C122" s="56">
        <v>90</v>
      </c>
      <c r="D122" s="21">
        <f>49.46+0.02+2</f>
        <v>51.48</v>
      </c>
      <c r="E122" s="31">
        <v>7.6666666666667</v>
      </c>
      <c r="F122" s="31">
        <f>11.222222222222-1.59</f>
        <v>9.632222222222</v>
      </c>
      <c r="G122" s="31">
        <f>9.6666666666667-2.69</f>
        <v>6.9766666666667</v>
      </c>
      <c r="H122" s="31">
        <v>145.26</v>
      </c>
    </row>
    <row r="123" spans="1:10" customHeight="1" ht="18">
      <c r="A123" s="45">
        <v>227</v>
      </c>
      <c r="B123" s="25" t="s">
        <v>56</v>
      </c>
      <c r="C123" s="56">
        <v>180</v>
      </c>
      <c r="D123" s="41">
        <v>16.05</v>
      </c>
      <c r="E123" s="31">
        <v>6.6666666666667</v>
      </c>
      <c r="F123" s="31">
        <v>5.8666666666667</v>
      </c>
      <c r="G123" s="31">
        <f>53.333333333333-28</f>
        <v>25.333333333333</v>
      </c>
      <c r="H123" s="31">
        <v>180.8</v>
      </c>
    </row>
    <row r="124" spans="1:10" customHeight="1" ht="18">
      <c r="A124" s="45">
        <v>300</v>
      </c>
      <c r="B124" s="25" t="s">
        <v>33</v>
      </c>
      <c r="C124" s="51">
        <v>200</v>
      </c>
      <c r="D124" s="21">
        <v>3.52</v>
      </c>
      <c r="E124" s="4">
        <v>0.1</v>
      </c>
      <c r="F124" s="4">
        <v>0.0</v>
      </c>
      <c r="G124" s="4">
        <v>20.2</v>
      </c>
      <c r="H124" s="4">
        <v>81.2</v>
      </c>
    </row>
    <row r="125" spans="1:10" customHeight="1" ht="18">
      <c r="A125" s="48" t="s">
        <v>29</v>
      </c>
      <c r="B125" s="4" t="s">
        <v>14</v>
      </c>
      <c r="C125" s="51">
        <v>20</v>
      </c>
      <c r="D125" s="21">
        <f>2.08-0.13</f>
        <v>1.95</v>
      </c>
      <c r="E125" s="4">
        <f>7.9/100*30</f>
        <v>2.37</v>
      </c>
      <c r="F125" s="4">
        <f>1/100*30</f>
        <v>0.3</v>
      </c>
      <c r="G125" s="4">
        <f>48.3/100*30</f>
        <v>14.49</v>
      </c>
      <c r="H125" s="4">
        <v>70.14</v>
      </c>
    </row>
    <row r="126" spans="1:10" customHeight="1" ht="18">
      <c r="A126" s="47"/>
      <c r="B126" s="9" t="s">
        <v>20</v>
      </c>
      <c r="C126" s="50">
        <f>SUM(C122:C125)</f>
        <v>490</v>
      </c>
      <c r="D126" s="6">
        <f>SUM(D122:D125)</f>
        <v>73</v>
      </c>
      <c r="E126" s="5">
        <f>SUM(E122:E125)</f>
        <v>16.803333333333</v>
      </c>
      <c r="F126" s="5">
        <f>SUM(F122:F125)</f>
        <v>15.798888888889</v>
      </c>
      <c r="G126" s="5">
        <f>SUM(G122:G125)</f>
        <v>67</v>
      </c>
      <c r="H126" s="5">
        <f>SUM(H122:H125)</f>
        <v>477.4</v>
      </c>
    </row>
    <row r="127" spans="1:10" customHeight="1" ht="18">
      <c r="A127" s="235" t="s">
        <v>21</v>
      </c>
      <c r="B127" s="236"/>
      <c r="C127" s="54"/>
      <c r="D127" s="36"/>
      <c r="E127" s="18"/>
      <c r="F127" s="18"/>
      <c r="G127" s="18"/>
      <c r="H127" s="18"/>
    </row>
    <row r="128" spans="1:10" customHeight="1" ht="33.75">
      <c r="A128" s="111">
        <v>56</v>
      </c>
      <c r="B128" s="87" t="s">
        <v>147</v>
      </c>
      <c r="C128" s="112">
        <v>210</v>
      </c>
      <c r="D128" s="38">
        <f>17.88-5.63</f>
        <v>12.25</v>
      </c>
      <c r="E128" s="25">
        <v>2.4</v>
      </c>
      <c r="F128" s="25">
        <v>8</v>
      </c>
      <c r="G128" s="25">
        <v>30.7</v>
      </c>
      <c r="H128" s="25">
        <v>204.4</v>
      </c>
    </row>
    <row r="129" spans="1:10" customHeight="1" ht="18" s="8" customFormat="1">
      <c r="A129" s="45">
        <v>96</v>
      </c>
      <c r="B129" s="25" t="s">
        <v>74</v>
      </c>
      <c r="C129" s="57">
        <v>30</v>
      </c>
      <c r="D129" s="21">
        <v>7.2</v>
      </c>
      <c r="E129" s="16">
        <f>14.02-7</f>
        <v>7.02</v>
      </c>
      <c r="F129" s="16">
        <f>9.3-1.96</f>
        <v>7.34</v>
      </c>
      <c r="G129" s="16">
        <v>7.1</v>
      </c>
      <c r="H129" s="16">
        <v>122.54</v>
      </c>
    </row>
    <row r="130" spans="1:10" customHeight="1" ht="18" s="8" customFormat="1">
      <c r="A130" s="45">
        <v>158</v>
      </c>
      <c r="B130" s="13" t="s">
        <v>37</v>
      </c>
      <c r="C130" s="57">
        <v>200</v>
      </c>
      <c r="D130" s="41">
        <v>41.11</v>
      </c>
      <c r="E130" s="14">
        <v>12.65</v>
      </c>
      <c r="F130" s="19">
        <f>13.2/180*220</f>
        <v>16.133333333333</v>
      </c>
      <c r="G130" s="19">
        <v>15.06</v>
      </c>
      <c r="H130" s="15">
        <v>256.04</v>
      </c>
    </row>
    <row r="131" spans="1:10" customHeight="1" ht="18">
      <c r="A131" s="45">
        <v>300</v>
      </c>
      <c r="B131" s="76" t="s">
        <v>26</v>
      </c>
      <c r="C131" s="51">
        <v>200</v>
      </c>
      <c r="D131" s="21">
        <v>7.73</v>
      </c>
      <c r="E131" s="4">
        <v>0.1</v>
      </c>
      <c r="F131" s="4">
        <v>0.0</v>
      </c>
      <c r="G131" s="4">
        <v>20.2</v>
      </c>
      <c r="H131" s="4">
        <v>81.2</v>
      </c>
    </row>
    <row r="132" spans="1:10" customHeight="1" ht="18">
      <c r="A132" s="48" t="s">
        <v>27</v>
      </c>
      <c r="B132" s="4" t="s">
        <v>28</v>
      </c>
      <c r="C132" s="51">
        <v>30</v>
      </c>
      <c r="D132" s="21">
        <v>2.76</v>
      </c>
      <c r="E132" s="2">
        <f>6.6/100*30</f>
        <v>1.98</v>
      </c>
      <c r="F132" s="52">
        <f>1.2/100*30</f>
        <v>0.36</v>
      </c>
      <c r="G132" s="2">
        <f>33.4/100*30</f>
        <v>10.02</v>
      </c>
      <c r="H132" s="2">
        <v>51.24</v>
      </c>
    </row>
    <row r="133" spans="1:10" customHeight="1" ht="18">
      <c r="A133" s="48" t="s">
        <v>29</v>
      </c>
      <c r="B133" s="4" t="s">
        <v>14</v>
      </c>
      <c r="C133" s="51">
        <v>20</v>
      </c>
      <c r="D133" s="21">
        <f>2.08-0.13</f>
        <v>1.95</v>
      </c>
      <c r="E133" s="4">
        <f>7.9/100*30</f>
        <v>2.37</v>
      </c>
      <c r="F133" s="4">
        <f>1/100*30</f>
        <v>0.3</v>
      </c>
      <c r="G133" s="4">
        <f>48.3/100*30</f>
        <v>14.49</v>
      </c>
      <c r="H133" s="4">
        <v>70.14</v>
      </c>
    </row>
    <row r="134" spans="1:10" customHeight="1" ht="18">
      <c r="A134" s="47"/>
      <c r="B134" s="9" t="s">
        <v>20</v>
      </c>
      <c r="C134" s="50">
        <f>SUM(C128:C133)</f>
        <v>690</v>
      </c>
      <c r="D134" s="75">
        <f>SUM(D128:D133)</f>
        <v>73</v>
      </c>
      <c r="E134" s="75">
        <f>SUM(E128:E133)</f>
        <v>26.52</v>
      </c>
      <c r="F134" s="75">
        <f>SUM(F128:F133)</f>
        <v>32.133333333333</v>
      </c>
      <c r="G134" s="75">
        <f>SUM(G128:G133)</f>
        <v>97.57</v>
      </c>
      <c r="H134" s="75">
        <f>SUM(H128:H133)</f>
        <v>785.56</v>
      </c>
    </row>
    <row r="135" spans="1:10" customHeight="1" ht="18">
      <c r="A135" s="47"/>
      <c r="B135" s="3" t="s">
        <v>30</v>
      </c>
      <c r="C135" s="50"/>
      <c r="D135" s="35"/>
      <c r="E135" s="6">
        <f>E126+E134</f>
        <v>43.323333333333</v>
      </c>
      <c r="F135" s="6">
        <f>F126+F134</f>
        <v>47.932222222222</v>
      </c>
      <c r="G135" s="6">
        <f>G126+G134</f>
        <v>164.57</v>
      </c>
      <c r="H135" s="6">
        <f>H126+H134</f>
        <v>1262.96</v>
      </c>
    </row>
    <row r="136" spans="1:10" customHeight="1" ht="18">
      <c r="A136" s="235" t="s">
        <v>75</v>
      </c>
      <c r="B136" s="236"/>
      <c r="C136" s="34"/>
      <c r="D136" s="33"/>
      <c r="E136" s="23"/>
      <c r="F136" s="23"/>
      <c r="G136" s="23"/>
      <c r="H136" s="33"/>
    </row>
    <row r="137" spans="1:10" customHeight="1" ht="18">
      <c r="A137" s="235" t="s">
        <v>42</v>
      </c>
      <c r="B137" s="236"/>
      <c r="C137" s="54"/>
      <c r="D137" s="35"/>
      <c r="E137" s="3"/>
      <c r="F137" s="3"/>
      <c r="G137" s="3"/>
      <c r="H137" s="3"/>
    </row>
    <row r="138" spans="1:10" customHeight="1" ht="18">
      <c r="A138" s="45">
        <v>258</v>
      </c>
      <c r="B138" s="4" t="s">
        <v>76</v>
      </c>
      <c r="C138" s="51">
        <v>150</v>
      </c>
      <c r="D138" s="41">
        <f>29.8+7.65</f>
        <v>37.45</v>
      </c>
      <c r="E138" s="17">
        <v>11.75</v>
      </c>
      <c r="F138" s="17">
        <f>15.3-1.39</f>
        <v>13.91</v>
      </c>
      <c r="G138" s="17">
        <f>52.16-28.1</f>
        <v>24.06</v>
      </c>
      <c r="H138" s="73">
        <v>268.43</v>
      </c>
    </row>
    <row r="139" spans="1:10" customHeight="1" ht="18">
      <c r="A139" s="45" t="s">
        <v>18</v>
      </c>
      <c r="B139" s="25" t="s">
        <v>77</v>
      </c>
      <c r="C139" s="51">
        <v>100</v>
      </c>
      <c r="D139" s="21">
        <v>23.25</v>
      </c>
      <c r="E139" s="17">
        <v>1.4019230769231</v>
      </c>
      <c r="F139" s="17">
        <v>0.31153846153846</v>
      </c>
      <c r="G139" s="17">
        <v>3.5711538461538</v>
      </c>
      <c r="H139" s="17">
        <v>22.7</v>
      </c>
    </row>
    <row r="140" spans="1:10" customHeight="1" ht="18" s="8" customFormat="1">
      <c r="A140" s="92" t="s">
        <v>18</v>
      </c>
      <c r="B140" s="14" t="s">
        <v>35</v>
      </c>
      <c r="C140" s="30">
        <v>40</v>
      </c>
      <c r="D140" s="41">
        <f>9.95-1.17</f>
        <v>8.78</v>
      </c>
      <c r="E140" s="17">
        <v>1.62</v>
      </c>
      <c r="F140" s="17">
        <v>1.58</v>
      </c>
      <c r="G140" s="17">
        <v>19.17</v>
      </c>
      <c r="H140" s="17">
        <v>97.43</v>
      </c>
    </row>
    <row r="141" spans="1:10" customHeight="1" ht="18">
      <c r="A141" s="45">
        <v>300</v>
      </c>
      <c r="B141" s="25" t="s">
        <v>33</v>
      </c>
      <c r="C141" s="51">
        <v>200</v>
      </c>
      <c r="D141" s="21">
        <v>3.52</v>
      </c>
      <c r="E141" s="4">
        <v>0.1</v>
      </c>
      <c r="F141" s="4">
        <v>0.0</v>
      </c>
      <c r="G141" s="4">
        <v>20.2</v>
      </c>
      <c r="H141" s="4">
        <v>81.2</v>
      </c>
    </row>
    <row r="142" spans="1:10" customHeight="1" ht="18">
      <c r="A142" s="47"/>
      <c r="B142" s="9" t="s">
        <v>20</v>
      </c>
      <c r="C142" s="50">
        <f>SUM(C138:C141)</f>
        <v>490</v>
      </c>
      <c r="D142" s="35">
        <f>SUM(D138:D141)</f>
        <v>73</v>
      </c>
      <c r="E142" s="35">
        <f>SUM(E138:E141)</f>
        <v>14.871923076923</v>
      </c>
      <c r="F142" s="35">
        <f>SUM(F138:F141)</f>
        <v>15.801538461538</v>
      </c>
      <c r="G142" s="35">
        <f>SUM(G138:G141)</f>
        <v>67.001153846154</v>
      </c>
      <c r="H142" s="35">
        <f>SUM(H138:H141)</f>
        <v>469.76</v>
      </c>
    </row>
    <row r="143" spans="1:10" customHeight="1" ht="18">
      <c r="A143" s="49"/>
      <c r="B143" s="28"/>
      <c r="C143" s="61"/>
      <c r="D143" s="36"/>
      <c r="E143" s="10"/>
      <c r="F143" s="10"/>
      <c r="G143" s="10"/>
      <c r="H143" s="10"/>
    </row>
    <row r="144" spans="1:10" customHeight="1" ht="18">
      <c r="A144" s="240" t="s">
        <v>21</v>
      </c>
      <c r="B144" s="240"/>
      <c r="C144" s="44"/>
      <c r="D144" s="36"/>
      <c r="E144" s="18"/>
      <c r="F144" s="18"/>
      <c r="G144" s="18"/>
      <c r="H144" s="18"/>
    </row>
    <row r="145" spans="1:10" customHeight="1" ht="18">
      <c r="A145" s="45">
        <v>55</v>
      </c>
      <c r="B145" s="20" t="s">
        <v>45</v>
      </c>
      <c r="C145" s="62">
        <v>200</v>
      </c>
      <c r="D145" s="38">
        <v>12.75</v>
      </c>
      <c r="E145" s="19">
        <v>8.25</v>
      </c>
      <c r="F145" s="19">
        <v>9.7</v>
      </c>
      <c r="G145" s="19">
        <v>31.8</v>
      </c>
      <c r="H145" s="19">
        <v>247.5</v>
      </c>
    </row>
    <row r="146" spans="1:10" customHeight="1" ht="18">
      <c r="A146" s="92">
        <v>108</v>
      </c>
      <c r="B146" s="93" t="s">
        <v>78</v>
      </c>
      <c r="C146" s="60">
        <v>90</v>
      </c>
      <c r="D146" s="21">
        <f>44.15-5.55+0.48+2.45-10.27+7.38+1.32</f>
        <v>39.96</v>
      </c>
      <c r="E146" s="31">
        <v>6.9</v>
      </c>
      <c r="F146" s="31">
        <f>10.1-2.6</f>
        <v>7.5</v>
      </c>
      <c r="G146" s="31">
        <v>8.7</v>
      </c>
      <c r="H146" s="31">
        <v>129.9</v>
      </c>
    </row>
    <row r="147" spans="1:10" customHeight="1" ht="18">
      <c r="A147" s="48" t="s">
        <v>24</v>
      </c>
      <c r="B147" s="94" t="s">
        <v>25</v>
      </c>
      <c r="C147" s="29">
        <v>180</v>
      </c>
      <c r="D147" s="21">
        <v>15.18</v>
      </c>
      <c r="E147" s="19">
        <f>12.72-6.81</f>
        <v>5.91</v>
      </c>
      <c r="F147" s="19">
        <v>8.16</v>
      </c>
      <c r="G147" s="19">
        <f>30.36-5.15</f>
        <v>25.21</v>
      </c>
      <c r="H147" s="19">
        <v>197.92</v>
      </c>
    </row>
    <row r="148" spans="1:10" customHeight="1" ht="18">
      <c r="A148" s="45">
        <v>300</v>
      </c>
      <c r="B148" s="25" t="s">
        <v>33</v>
      </c>
      <c r="C148" s="51">
        <v>200</v>
      </c>
      <c r="D148" s="21">
        <v>3.52</v>
      </c>
      <c r="E148" s="4">
        <v>0.1</v>
      </c>
      <c r="F148" s="4">
        <v>0.0</v>
      </c>
      <c r="G148" s="4">
        <v>20.2</v>
      </c>
      <c r="H148" s="4">
        <v>81.2</v>
      </c>
    </row>
    <row r="149" spans="1:10" customHeight="1" ht="18">
      <c r="A149" s="48" t="s">
        <v>27</v>
      </c>
      <c r="B149" s="76" t="s">
        <v>28</v>
      </c>
      <c r="C149" s="51">
        <v>20</v>
      </c>
      <c r="D149" s="21">
        <f>2.76-1.17</f>
        <v>1.59</v>
      </c>
      <c r="E149" s="2">
        <f>6.6/100*30</f>
        <v>1.98</v>
      </c>
      <c r="F149" s="52">
        <f>1.2/100*30</f>
        <v>0.36</v>
      </c>
      <c r="G149" s="2">
        <f>33.4/100*30</f>
        <v>10.02</v>
      </c>
      <c r="H149" s="2">
        <v>51.24</v>
      </c>
    </row>
    <row r="150" spans="1:10" customHeight="1" ht="18">
      <c r="A150" s="45"/>
      <c r="B150" s="9" t="s">
        <v>20</v>
      </c>
      <c r="C150" s="50">
        <f>SUM(C145:C149)</f>
        <v>690</v>
      </c>
      <c r="D150" s="75">
        <f>SUM(D145:D149)</f>
        <v>73</v>
      </c>
      <c r="E150" s="75">
        <f>SUM(E145:E149)</f>
        <v>23.14</v>
      </c>
      <c r="F150" s="75">
        <f>SUM(F145:F149)</f>
        <v>25.72</v>
      </c>
      <c r="G150" s="75">
        <f>SUM(G145:G149)</f>
        <v>95.93</v>
      </c>
      <c r="H150" s="75">
        <f>SUM(H145:H149)</f>
        <v>707.76</v>
      </c>
    </row>
    <row r="151" spans="1:10" customHeight="1" ht="18">
      <c r="A151" s="45"/>
      <c r="B151" s="9"/>
      <c r="C151" s="50"/>
      <c r="D151" s="35"/>
      <c r="E151" s="5">
        <f>E142+E150</f>
        <v>38.011923076923</v>
      </c>
      <c r="F151" s="5">
        <f>F142+F150</f>
        <v>41.521538461538</v>
      </c>
      <c r="G151" s="5">
        <f>G142+G150</f>
        <v>162.93115384615</v>
      </c>
      <c r="H151" s="5">
        <f>H142+H150</f>
        <v>1177.52</v>
      </c>
    </row>
    <row r="152" spans="1:10" customHeight="1" ht="18">
      <c r="A152" s="237" t="s">
        <v>79</v>
      </c>
      <c r="B152" s="238"/>
      <c r="C152" s="53"/>
      <c r="D152" s="23"/>
      <c r="E152" s="23"/>
      <c r="F152" s="23"/>
      <c r="G152" s="23"/>
      <c r="H152" s="23"/>
    </row>
    <row r="153" spans="1:10" customHeight="1" ht="18">
      <c r="A153" s="240" t="s">
        <v>42</v>
      </c>
      <c r="B153" s="240"/>
      <c r="C153" s="44"/>
      <c r="D153" s="36"/>
      <c r="E153" s="18"/>
      <c r="F153" s="18"/>
      <c r="G153" s="18"/>
      <c r="H153" s="18"/>
    </row>
    <row r="154" spans="1:10" customHeight="1" ht="18">
      <c r="A154" s="92">
        <v>227</v>
      </c>
      <c r="B154" s="1" t="s">
        <v>52</v>
      </c>
      <c r="C154" s="57">
        <v>150</v>
      </c>
      <c r="D154" s="21">
        <v>9.49</v>
      </c>
      <c r="E154" s="31">
        <v>7.1253333333333</v>
      </c>
      <c r="F154" s="31">
        <v>7.69</v>
      </c>
      <c r="G154" s="31">
        <f>38.208-16.8</f>
        <v>21.408</v>
      </c>
      <c r="H154" s="31">
        <v>183.34</v>
      </c>
    </row>
    <row r="155" spans="1:10" customHeight="1" ht="18">
      <c r="A155" s="45">
        <v>136</v>
      </c>
      <c r="B155" s="25" t="s">
        <v>80</v>
      </c>
      <c r="C155" s="57">
        <v>100</v>
      </c>
      <c r="D155" s="41">
        <v>46.02</v>
      </c>
      <c r="E155" s="21">
        <v>4.5</v>
      </c>
      <c r="F155" s="21">
        <v>6.3</v>
      </c>
      <c r="G155" s="21">
        <v>7.9</v>
      </c>
      <c r="H155" s="21">
        <v>106.3</v>
      </c>
    </row>
    <row r="156" spans="1:10" customHeight="1" ht="18">
      <c r="A156" s="45">
        <v>300</v>
      </c>
      <c r="B156" s="25" t="s">
        <v>33</v>
      </c>
      <c r="C156" s="51">
        <v>200</v>
      </c>
      <c r="D156" s="21">
        <v>3.52</v>
      </c>
      <c r="E156" s="4">
        <v>0.1</v>
      </c>
      <c r="F156" s="4">
        <v>0.0</v>
      </c>
      <c r="G156" s="4">
        <v>20.2</v>
      </c>
      <c r="H156" s="4">
        <v>81.2</v>
      </c>
    </row>
    <row r="157" spans="1:10" customHeight="1" ht="18">
      <c r="A157" s="48" t="s">
        <v>38</v>
      </c>
      <c r="B157" s="2" t="s">
        <v>35</v>
      </c>
      <c r="C157" s="29">
        <v>20</v>
      </c>
      <c r="D157" s="21">
        <v>12.02</v>
      </c>
      <c r="E157" s="16">
        <v>1.8</v>
      </c>
      <c r="F157" s="16">
        <v>3</v>
      </c>
      <c r="G157" s="16">
        <v>2</v>
      </c>
      <c r="H157" s="74">
        <v>42.2</v>
      </c>
    </row>
    <row r="158" spans="1:10" customHeight="1" ht="18">
      <c r="A158" s="48" t="s">
        <v>29</v>
      </c>
      <c r="B158" s="4" t="s">
        <v>14</v>
      </c>
      <c r="C158" s="51">
        <v>20</v>
      </c>
      <c r="D158" s="21">
        <f>2.08-0.13</f>
        <v>1.95</v>
      </c>
      <c r="E158" s="4">
        <f>7.9/100*30</f>
        <v>2.37</v>
      </c>
      <c r="F158" s="4">
        <f>1/100*30</f>
        <v>0.3</v>
      </c>
      <c r="G158" s="4">
        <f>48.3/100*30</f>
        <v>14.49</v>
      </c>
      <c r="H158" s="4">
        <v>70.14</v>
      </c>
    </row>
    <row r="159" spans="1:10" customHeight="1" ht="18">
      <c r="A159" s="47"/>
      <c r="B159" s="9" t="s">
        <v>20</v>
      </c>
      <c r="C159" s="50">
        <f>SUM(C154:C158)</f>
        <v>490</v>
      </c>
      <c r="D159" s="6">
        <f>SUM(D154:D158)</f>
        <v>73</v>
      </c>
      <c r="E159" s="5">
        <f>SUM(E154:E158)</f>
        <v>15.895333333333</v>
      </c>
      <c r="F159" s="5">
        <f>SUM(F154:F158)</f>
        <v>17.29</v>
      </c>
      <c r="G159" s="5">
        <f>SUM(G154:G158)</f>
        <v>65.998</v>
      </c>
      <c r="H159" s="5">
        <f>SUM(H154:H158)</f>
        <v>483.18</v>
      </c>
    </row>
    <row r="160" spans="1:10" customHeight="1" ht="18">
      <c r="A160" s="235" t="s">
        <v>21</v>
      </c>
      <c r="B160" s="236"/>
      <c r="C160" s="54"/>
      <c r="D160" s="36"/>
      <c r="E160" s="18"/>
      <c r="F160" s="18"/>
      <c r="G160" s="18"/>
      <c r="H160" s="18"/>
    </row>
    <row r="161" spans="1:10" customHeight="1" ht="18">
      <c r="A161" s="45">
        <v>65</v>
      </c>
      <c r="B161" s="106" t="s">
        <v>57</v>
      </c>
      <c r="C161" s="56">
        <v>230</v>
      </c>
      <c r="D161" s="41">
        <v>10.81</v>
      </c>
      <c r="E161" s="13">
        <v>6.716</v>
      </c>
      <c r="F161" s="13">
        <v>6.808</v>
      </c>
      <c r="G161" s="13">
        <v>25.576</v>
      </c>
      <c r="H161" s="13">
        <v>190.44</v>
      </c>
    </row>
    <row r="162" spans="1:10" customHeight="1" ht="18">
      <c r="A162" s="92">
        <v>110</v>
      </c>
      <c r="B162" s="100" t="s">
        <v>81</v>
      </c>
      <c r="C162" s="29">
        <v>90</v>
      </c>
      <c r="D162" s="38">
        <f>40.96+8.12+2</f>
        <v>51.08</v>
      </c>
      <c r="E162" s="31">
        <v>6.9</v>
      </c>
      <c r="F162" s="31">
        <v>10.1</v>
      </c>
      <c r="G162" s="31">
        <v>8.7</v>
      </c>
      <c r="H162" s="31">
        <v>153.3</v>
      </c>
    </row>
    <row r="163" spans="1:10" customHeight="1" ht="18">
      <c r="A163" s="45">
        <v>227</v>
      </c>
      <c r="B163" s="32" t="s">
        <v>70</v>
      </c>
      <c r="C163" s="60">
        <v>150</v>
      </c>
      <c r="D163" s="41">
        <v>6</v>
      </c>
      <c r="E163" s="31">
        <v>6.6666666666667</v>
      </c>
      <c r="F163" s="31">
        <v>5.8666666666667</v>
      </c>
      <c r="G163" s="31">
        <f>53.333333333333-28</f>
        <v>25.333333333333</v>
      </c>
      <c r="H163" s="31">
        <v>180.8</v>
      </c>
    </row>
    <row r="164" spans="1:10" customHeight="1" ht="15.75">
      <c r="A164" s="45">
        <v>300</v>
      </c>
      <c r="B164" s="95" t="s">
        <v>33</v>
      </c>
      <c r="C164" s="51">
        <v>200</v>
      </c>
      <c r="D164" s="21">
        <v>3.52</v>
      </c>
      <c r="E164" s="4">
        <v>0.1</v>
      </c>
      <c r="F164" s="4">
        <v>0.0</v>
      </c>
      <c r="G164" s="4">
        <v>20.2</v>
      </c>
      <c r="H164" s="4">
        <v>81.2</v>
      </c>
    </row>
    <row r="165" spans="1:10" customHeight="1" ht="15.75">
      <c r="A165" s="48" t="s">
        <v>27</v>
      </c>
      <c r="B165" s="76" t="s">
        <v>28</v>
      </c>
      <c r="C165" s="51">
        <v>20</v>
      </c>
      <c r="D165" s="21">
        <f>2.76-1.17</f>
        <v>1.59</v>
      </c>
      <c r="E165" s="2">
        <f>6.6/100*30</f>
        <v>1.98</v>
      </c>
      <c r="F165" s="52">
        <f>1.2/100*30</f>
        <v>0.36</v>
      </c>
      <c r="G165" s="2">
        <f>33.4/100*30</f>
        <v>10.02</v>
      </c>
      <c r="H165" s="2">
        <v>51.24</v>
      </c>
    </row>
    <row r="166" spans="1:10" customHeight="1" ht="15.75">
      <c r="A166" s="47"/>
      <c r="B166" s="9" t="s">
        <v>20</v>
      </c>
      <c r="C166" s="50">
        <f>SUM(C161:C165)</f>
        <v>690</v>
      </c>
      <c r="D166" s="75">
        <f>SUM(D161:D165)</f>
        <v>73</v>
      </c>
      <c r="E166" s="75">
        <f>SUM(E161:E165)</f>
        <v>22.362666666667</v>
      </c>
      <c r="F166" s="75">
        <f>SUM(F161:F165)</f>
        <v>23.134666666667</v>
      </c>
      <c r="G166" s="75">
        <f>SUM(G161:G165)</f>
        <v>89.829333333333</v>
      </c>
      <c r="H166" s="75">
        <f>SUM(H161:H165)</f>
        <v>656.98</v>
      </c>
    </row>
    <row r="167" spans="1:10" customHeight="1" ht="15.75">
      <c r="A167" s="47"/>
      <c r="B167" s="12" t="s">
        <v>30</v>
      </c>
      <c r="C167" s="50"/>
      <c r="D167" s="35"/>
      <c r="E167" s="6">
        <f>E159+E166</f>
        <v>38.258</v>
      </c>
      <c r="F167" s="6">
        <f>F159+F166</f>
        <v>40.424666666667</v>
      </c>
      <c r="G167" s="6">
        <f>G159+G166</f>
        <v>155.82733333333</v>
      </c>
      <c r="H167" s="6">
        <f>H159+H166</f>
        <v>1140.16</v>
      </c>
    </row>
    <row r="168" spans="1:10" customHeight="1" ht="15.75">
      <c r="A168" s="66"/>
      <c r="B168" s="245" t="s">
        <v>82</v>
      </c>
      <c r="C168" s="245"/>
      <c r="D168" s="6"/>
      <c r="E168" s="6">
        <f>E22+E40+E56+E72+E88+E104+E119+E135+E151+E167</f>
        <v>416.41690645774</v>
      </c>
      <c r="F168" s="6">
        <f>F22+F40+F56+F72+F88+F104+F119+F135+F151+F167</f>
        <v>430.81894491928</v>
      </c>
      <c r="G168" s="6">
        <f>G22+G40+G56+G72+G88+G104+G119+G135+G151+G167</f>
        <v>1720.7050451092</v>
      </c>
      <c r="H168" s="6">
        <f>H22+H40+H56+H72+H88+H104+H119+H135+H151+H167</f>
        <v>12439.866666667</v>
      </c>
    </row>
    <row r="169" spans="1:10" customHeight="1" ht="15.75">
      <c r="A169" s="66"/>
      <c r="B169" s="246" t="s">
        <v>83</v>
      </c>
      <c r="C169" s="246"/>
      <c r="D169" s="67"/>
      <c r="E169" s="6">
        <f>E168/10</f>
        <v>41.641690645774</v>
      </c>
      <c r="F169" s="6">
        <f>F168/10</f>
        <v>43.081894491928</v>
      </c>
      <c r="G169" s="6">
        <f>G168/10</f>
        <v>172.07050451092</v>
      </c>
      <c r="H169" s="6">
        <f>H168/10</f>
        <v>1243.9866666667</v>
      </c>
    </row>
    <row r="171" spans="1:10" customHeight="1" ht="15">
      <c r="E171" s="40"/>
      <c r="F171" s="40"/>
      <c r="G171" s="40"/>
      <c r="H171" s="4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G2"/>
    <mergeCell ref="A3:A7"/>
    <mergeCell ref="B3:B7"/>
    <mergeCell ref="C3:C7"/>
    <mergeCell ref="D3:D7"/>
    <mergeCell ref="E3:G4"/>
    <mergeCell ref="H3:H7"/>
    <mergeCell ref="E5:E7"/>
    <mergeCell ref="F5:F7"/>
    <mergeCell ref="G5:G7"/>
    <mergeCell ref="A8:B8"/>
    <mergeCell ref="A9:B9"/>
    <mergeCell ref="A14:B14"/>
    <mergeCell ref="A24:B24"/>
    <mergeCell ref="A25:B25"/>
    <mergeCell ref="A32:B32"/>
    <mergeCell ref="A41:B41"/>
    <mergeCell ref="A42:B42"/>
    <mergeCell ref="A48:B48"/>
    <mergeCell ref="A57:B57"/>
    <mergeCell ref="A58:B58"/>
    <mergeCell ref="A64:B64"/>
    <mergeCell ref="A73:B73"/>
    <mergeCell ref="A74:B74"/>
    <mergeCell ref="A81:B81"/>
    <mergeCell ref="A89:B89"/>
    <mergeCell ref="A90:B90"/>
    <mergeCell ref="A97:B97"/>
    <mergeCell ref="A105:B105"/>
    <mergeCell ref="A106:B106"/>
    <mergeCell ref="A112:B112"/>
    <mergeCell ref="A120:B120"/>
    <mergeCell ref="A121:B121"/>
    <mergeCell ref="A127:B127"/>
    <mergeCell ref="A136:B136"/>
    <mergeCell ref="A137:B137"/>
    <mergeCell ref="A144:B144"/>
    <mergeCell ref="A152:B152"/>
    <mergeCell ref="A153:B153"/>
    <mergeCell ref="A160:B160"/>
    <mergeCell ref="B168:C168"/>
    <mergeCell ref="B169:C1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72"/>
  <sheetViews>
    <sheetView tabSelected="0" workbookViewId="0" showGridLines="true" showRowColHeaders="1">
      <selection activeCell="O50" sqref="O50"/>
    </sheetView>
  </sheetViews>
  <sheetFormatPr customHeight="true" defaultRowHeight="15" defaultColWidth="9.140625" outlineLevelRow="0" outlineLevelCol="0"/>
  <cols>
    <col min="1" max="1" width="10" customWidth="true" style="43"/>
    <col min="2" max="2" width="57" customWidth="true" style="11"/>
    <col min="3" max="3" width="9.5703125" customWidth="true" style="55"/>
    <col min="4" max="4" width="9.5703125" customWidth="true" style="40"/>
    <col min="5" max="5" width="10.28515625" customWidth="true" style="11"/>
    <col min="6" max="6" width="10.7109375" customWidth="true" style="11"/>
    <col min="7" max="7" width="10.7109375" customWidth="true" style="11"/>
    <col min="8" max="8" width="11.85546875" customWidth="true" style="11"/>
    <col min="9" max="9" width="0" hidden="true" customWidth="true" style="11"/>
    <col min="10" max="10" width="9.5703125" hidden="true" customWidth="true" style="11"/>
    <col min="11" max="11" width="0" hidden="true" customWidth="true" style="11"/>
    <col min="12" max="12" width="0" hidden="true" customWidth="true" style="11"/>
    <col min="13" max="13" width="0" hidden="true" customWidth="true" style="11"/>
  </cols>
  <sheetData>
    <row r="1" spans="1:17" customHeight="1" ht="15">
      <c r="B1" s="220" t="s">
        <v>0</v>
      </c>
      <c r="C1" s="220"/>
      <c r="D1" s="220"/>
      <c r="E1" s="220"/>
      <c r="F1" s="220"/>
      <c r="G1" s="220"/>
      <c r="H1" s="42"/>
    </row>
    <row r="2" spans="1:17" customHeight="1" ht="15">
      <c r="B2" s="221"/>
      <c r="C2" s="221"/>
      <c r="D2" s="221"/>
      <c r="E2" s="221"/>
      <c r="F2" s="221"/>
      <c r="G2" s="221"/>
    </row>
    <row r="3" spans="1:17" customHeight="1" ht="15.75">
      <c r="A3" s="222" t="s">
        <v>1</v>
      </c>
      <c r="B3" s="225" t="s">
        <v>2</v>
      </c>
      <c r="C3" s="228" t="s">
        <v>3</v>
      </c>
      <c r="D3" s="231" t="s">
        <v>4</v>
      </c>
      <c r="E3" s="238" t="s">
        <v>5</v>
      </c>
      <c r="F3" s="238"/>
      <c r="G3" s="239"/>
      <c r="H3" s="232" t="s">
        <v>6</v>
      </c>
    </row>
    <row r="4" spans="1:17" customHeight="1" ht="15.75">
      <c r="A4" s="223"/>
      <c r="B4" s="226"/>
      <c r="C4" s="229"/>
      <c r="D4" s="231"/>
      <c r="E4" s="240"/>
      <c r="F4" s="240"/>
      <c r="G4" s="241"/>
      <c r="H4" s="233"/>
    </row>
    <row r="5" spans="1:17" customHeight="1" ht="15">
      <c r="A5" s="223"/>
      <c r="B5" s="226"/>
      <c r="C5" s="229"/>
      <c r="D5" s="231"/>
      <c r="E5" s="242" t="s">
        <v>7</v>
      </c>
      <c r="F5" s="225" t="s">
        <v>8</v>
      </c>
      <c r="G5" s="225" t="s">
        <v>9</v>
      </c>
      <c r="H5" s="233"/>
    </row>
    <row r="6" spans="1:17" customHeight="1" ht="15">
      <c r="A6" s="223"/>
      <c r="B6" s="226"/>
      <c r="C6" s="229"/>
      <c r="D6" s="231"/>
      <c r="E6" s="243"/>
      <c r="F6" s="226"/>
      <c r="G6" s="226"/>
      <c r="H6" s="233"/>
    </row>
    <row r="7" spans="1:17" customHeight="1" ht="33">
      <c r="A7" s="224"/>
      <c r="B7" s="227"/>
      <c r="C7" s="230"/>
      <c r="D7" s="231"/>
      <c r="E7" s="244"/>
      <c r="F7" s="227"/>
      <c r="G7" s="227"/>
      <c r="H7" s="234"/>
    </row>
    <row r="8" spans="1:17" customHeight="1" ht="18.75">
      <c r="A8" s="235" t="s">
        <v>10</v>
      </c>
      <c r="B8" s="236"/>
      <c r="C8" s="34"/>
      <c r="D8" s="33"/>
      <c r="E8" s="33"/>
      <c r="F8" s="33"/>
      <c r="G8" s="33"/>
      <c r="H8" s="33"/>
    </row>
    <row r="9" spans="1:17" customHeight="1" ht="18">
      <c r="A9" s="235" t="s">
        <v>11</v>
      </c>
      <c r="B9" s="236"/>
      <c r="C9" s="34"/>
      <c r="D9" s="39"/>
      <c r="E9" s="12"/>
      <c r="F9" s="12"/>
      <c r="G9" s="12"/>
      <c r="H9" s="12"/>
    </row>
    <row r="10" spans="1:17" customHeight="1" ht="18">
      <c r="A10" s="45">
        <v>208</v>
      </c>
      <c r="B10" s="4" t="s">
        <v>12</v>
      </c>
      <c r="C10" s="118" t="s">
        <v>13</v>
      </c>
      <c r="D10" s="41">
        <v>21.14</v>
      </c>
      <c r="E10" s="17">
        <f>9.2325+0.27</f>
        <v>9.5025</v>
      </c>
      <c r="F10" s="17">
        <f>11.568703703704+3.41</f>
        <v>14.978703703704</v>
      </c>
      <c r="G10" s="17">
        <f>22.895185185185-11.43</f>
        <v>11.465185185185</v>
      </c>
      <c r="H10" s="17">
        <f>232.6275-17.08</f>
        <v>215.5475</v>
      </c>
    </row>
    <row r="11" spans="1:17" customHeight="1" ht="18">
      <c r="A11" s="91" t="s">
        <v>29</v>
      </c>
      <c r="B11" s="4" t="s">
        <v>14</v>
      </c>
      <c r="C11" s="51">
        <v>30</v>
      </c>
      <c r="D11" s="21">
        <v>3.12</v>
      </c>
      <c r="E11" s="4">
        <f>7.9/100*30</f>
        <v>2.37</v>
      </c>
      <c r="F11" s="4">
        <f>1/100*30</f>
        <v>0.3</v>
      </c>
      <c r="G11" s="4">
        <f>48.3/100*30</f>
        <v>14.49</v>
      </c>
      <c r="H11" s="4">
        <v>70.14</v>
      </c>
    </row>
    <row r="12" spans="1:17" customHeight="1" ht="18">
      <c r="A12" s="45" t="s">
        <v>18</v>
      </c>
      <c r="B12" s="4" t="s">
        <v>15</v>
      </c>
      <c r="C12" s="51">
        <v>95</v>
      </c>
      <c r="D12" s="41">
        <v>40.3</v>
      </c>
      <c r="E12" s="17">
        <v>1.61</v>
      </c>
      <c r="F12" s="17">
        <v>0.115</v>
      </c>
      <c r="G12" s="17">
        <v>16.2</v>
      </c>
      <c r="H12" s="17">
        <v>73.6</v>
      </c>
    </row>
    <row r="13" spans="1:17" customHeight="1" ht="18">
      <c r="A13" s="45">
        <v>300</v>
      </c>
      <c r="B13" s="25" t="s">
        <v>16</v>
      </c>
      <c r="C13" s="118" t="s">
        <v>17</v>
      </c>
      <c r="D13" s="21">
        <v>5.99</v>
      </c>
      <c r="E13" s="4">
        <v>0.1</v>
      </c>
      <c r="F13" s="4">
        <v>0.0</v>
      </c>
      <c r="G13" s="4">
        <v>20.2</v>
      </c>
      <c r="H13" s="4">
        <v>81.2</v>
      </c>
    </row>
    <row r="14" spans="1:17" customHeight="1" ht="18">
      <c r="A14" s="45" t="s">
        <v>18</v>
      </c>
      <c r="B14" s="14" t="s">
        <v>19</v>
      </c>
      <c r="C14" s="30">
        <v>30</v>
      </c>
      <c r="D14" s="41">
        <v>6.81</v>
      </c>
      <c r="E14" s="17">
        <v>1.8225</v>
      </c>
      <c r="F14" s="17">
        <v>0.405</v>
      </c>
      <c r="G14" s="17">
        <v>4.6425</v>
      </c>
      <c r="H14" s="17">
        <v>29.51</v>
      </c>
    </row>
    <row r="15" spans="1:17" customHeight="1" ht="18" s="7" customFormat="1">
      <c r="A15" s="47"/>
      <c r="B15" s="9" t="s">
        <v>20</v>
      </c>
      <c r="C15" s="50">
        <f>150+30+95+205+30</f>
        <v>510</v>
      </c>
      <c r="D15" s="75">
        <f>SUM(D10:D14)</f>
        <v>77.36</v>
      </c>
      <c r="E15" s="75">
        <f>SUM(E10:E14)</f>
        <v>15.405</v>
      </c>
      <c r="F15" s="75">
        <f>SUM(F10:F14)</f>
        <v>15.798703703704</v>
      </c>
      <c r="G15" s="75">
        <f>SUM(G10:G14)</f>
        <v>66.997685185185</v>
      </c>
      <c r="H15" s="75">
        <f>SUM(H10:H14)</f>
        <v>469.9975</v>
      </c>
      <c r="I15" s="7">
        <v>77.36</v>
      </c>
      <c r="J15" s="119">
        <f>D15-I15</f>
        <v>0</v>
      </c>
    </row>
    <row r="16" spans="1:17" customHeight="1" ht="18">
      <c r="A16" s="235" t="s">
        <v>21</v>
      </c>
      <c r="B16" s="236"/>
      <c r="C16" s="54"/>
      <c r="D16" s="36"/>
      <c r="E16" s="18"/>
      <c r="F16" s="18"/>
      <c r="G16" s="18"/>
      <c r="H16" s="18"/>
      <c r="I16" s="114">
        <f>E15-E16</f>
        <v>15.405</v>
      </c>
      <c r="J16" s="114">
        <f>F15-F16</f>
        <v>15.798703703704</v>
      </c>
      <c r="K16" s="114">
        <f>G15-G16</f>
        <v>66.997685185185</v>
      </c>
      <c r="L16" s="114">
        <f>H15-H16</f>
        <v>469.9975</v>
      </c>
    </row>
    <row r="17" spans="1:17" customHeight="1" ht="18">
      <c r="A17" s="90">
        <v>65</v>
      </c>
      <c r="B17" s="1" t="s">
        <v>22</v>
      </c>
      <c r="C17" s="62">
        <v>200</v>
      </c>
      <c r="D17" s="21">
        <v>9.75</v>
      </c>
      <c r="E17" s="26">
        <v>6.4</v>
      </c>
      <c r="F17" s="26">
        <v>8</v>
      </c>
      <c r="G17" s="26">
        <v>30.7</v>
      </c>
      <c r="H17" s="26">
        <v>220.4</v>
      </c>
    </row>
    <row r="18" spans="1:17" customHeight="1" ht="18">
      <c r="A18" s="90">
        <v>97</v>
      </c>
      <c r="B18" s="1" t="s">
        <v>148</v>
      </c>
      <c r="C18" s="29">
        <v>90</v>
      </c>
      <c r="D18" s="21">
        <f>50.35-14+5-0.41+0.59-1.21+2+3.19-3.81</f>
        <v>41.7</v>
      </c>
      <c r="E18" s="16">
        <f>14.02-7+0.3</f>
        <v>7.32</v>
      </c>
      <c r="F18" s="16">
        <f>9.3-1.96+0.9</f>
        <v>8.24</v>
      </c>
      <c r="G18" s="16">
        <v>7.1</v>
      </c>
      <c r="H18" s="16">
        <v>131.84</v>
      </c>
    </row>
    <row r="19" spans="1:17" customHeight="1" ht="18">
      <c r="A19" s="91" t="s">
        <v>24</v>
      </c>
      <c r="B19" s="1" t="s">
        <v>25</v>
      </c>
      <c r="C19" s="57">
        <v>150</v>
      </c>
      <c r="D19" s="21">
        <v>12.3</v>
      </c>
      <c r="E19" s="19">
        <v>4.925</v>
      </c>
      <c r="F19" s="19">
        <v>6.8</v>
      </c>
      <c r="G19" s="19">
        <f>21.008333333333-3</f>
        <v>18.008333333333</v>
      </c>
      <c r="H19" s="19">
        <v>152.93</v>
      </c>
    </row>
    <row r="20" spans="1:17" customHeight="1" ht="18">
      <c r="A20" s="45">
        <v>300</v>
      </c>
      <c r="B20" s="76" t="s">
        <v>26</v>
      </c>
      <c r="C20" s="51">
        <v>200</v>
      </c>
      <c r="D20" s="21">
        <v>7.73</v>
      </c>
      <c r="E20" s="4">
        <v>0.1</v>
      </c>
      <c r="F20" s="4">
        <v>0.0</v>
      </c>
      <c r="G20" s="4">
        <v>20.2</v>
      </c>
      <c r="H20" s="4">
        <v>81.2</v>
      </c>
    </row>
    <row r="21" spans="1:17" customHeight="1" ht="18" s="8" customFormat="1">
      <c r="A21" s="48" t="s">
        <v>27</v>
      </c>
      <c r="B21" s="4" t="s">
        <v>28</v>
      </c>
      <c r="C21" s="51">
        <v>30</v>
      </c>
      <c r="D21" s="21">
        <v>2.76</v>
      </c>
      <c r="E21" s="2">
        <f>6.6/100*30</f>
        <v>1.98</v>
      </c>
      <c r="F21" s="52">
        <f>1.2/100*30</f>
        <v>0.36</v>
      </c>
      <c r="G21" s="2">
        <f>33.4/100*30</f>
        <v>10.02</v>
      </c>
      <c r="H21" s="2">
        <v>51.24</v>
      </c>
    </row>
    <row r="22" spans="1:17" customHeight="1" ht="18" s="8" customFormat="1">
      <c r="A22" s="91" t="s">
        <v>29</v>
      </c>
      <c r="B22" s="4" t="s">
        <v>14</v>
      </c>
      <c r="C22" s="51">
        <v>30</v>
      </c>
      <c r="D22" s="21">
        <v>3.12</v>
      </c>
      <c r="E22" s="4">
        <f>7.9/100*30</f>
        <v>2.37</v>
      </c>
      <c r="F22" s="4">
        <f>1/100*30</f>
        <v>0.3</v>
      </c>
      <c r="G22" s="4">
        <f>48.3/100*30</f>
        <v>14.49</v>
      </c>
      <c r="H22" s="4">
        <v>70.14</v>
      </c>
    </row>
    <row r="23" spans="1:17" customHeight="1" ht="18" s="8" customFormat="1">
      <c r="A23" s="47"/>
      <c r="B23" s="9" t="s">
        <v>20</v>
      </c>
      <c r="C23" s="50">
        <f>SUM(C17:C22)</f>
        <v>700</v>
      </c>
      <c r="D23" s="35">
        <f>SUM(D17:D22)</f>
        <v>77.36</v>
      </c>
      <c r="E23" s="35">
        <f>SUM(E17:E22)</f>
        <v>23.095</v>
      </c>
      <c r="F23" s="35">
        <f>SUM(F17:F22)</f>
        <v>23.7</v>
      </c>
      <c r="G23" s="35">
        <f>SUM(G17:G22)</f>
        <v>100.51833333333</v>
      </c>
      <c r="H23" s="35">
        <f>SUM(H17:H22)</f>
        <v>707.75</v>
      </c>
      <c r="I23" s="8">
        <v>77.36</v>
      </c>
      <c r="J23" s="120">
        <f>I23-D23</f>
        <v>-1.4210854715202E-14</v>
      </c>
    </row>
    <row r="24" spans="1:17" customHeight="1" ht="18">
      <c r="A24" s="47"/>
      <c r="B24" s="3" t="s">
        <v>30</v>
      </c>
      <c r="C24" s="50"/>
      <c r="D24" s="64"/>
      <c r="E24" s="35">
        <f>E15+E23</f>
        <v>38.5</v>
      </c>
      <c r="F24" s="35">
        <f>F15+F23</f>
        <v>39.498703703704</v>
      </c>
      <c r="G24" s="35">
        <f>G15+G23</f>
        <v>167.51601851852</v>
      </c>
      <c r="H24" s="35">
        <f>H15+H23</f>
        <v>1177.7475</v>
      </c>
    </row>
    <row r="25" spans="1:17" customHeight="1" ht="18">
      <c r="A25" s="49"/>
      <c r="B25" s="18"/>
      <c r="C25" s="61"/>
      <c r="D25" s="36"/>
      <c r="E25" s="115"/>
      <c r="F25" s="115"/>
      <c r="G25" s="115"/>
      <c r="H25" s="115"/>
    </row>
    <row r="26" spans="1:17" customHeight="1" ht="18">
      <c r="A26" s="249" t="s">
        <v>31</v>
      </c>
      <c r="B26" s="249"/>
      <c r="C26" s="174"/>
      <c r="D26" s="18"/>
      <c r="E26" s="115"/>
      <c r="F26" s="115"/>
      <c r="G26" s="115"/>
      <c r="H26" s="18"/>
    </row>
    <row r="27" spans="1:17" customHeight="1" ht="18">
      <c r="A27" s="249" t="s">
        <v>11</v>
      </c>
      <c r="B27" s="249"/>
      <c r="C27" s="174"/>
      <c r="D27" s="36"/>
      <c r="E27" s="18"/>
      <c r="F27" s="10"/>
      <c r="G27" s="18"/>
      <c r="H27" s="18"/>
    </row>
    <row r="28" spans="1:17" customHeight="1" ht="18">
      <c r="A28" s="45">
        <v>234</v>
      </c>
      <c r="B28" s="2" t="s">
        <v>32</v>
      </c>
      <c r="C28" s="56">
        <v>115</v>
      </c>
      <c r="D28" s="21">
        <v>41.3</v>
      </c>
      <c r="E28" s="31">
        <f>6.9+3.28</f>
        <v>10.18</v>
      </c>
      <c r="F28" s="31">
        <f>10.1-1.28</f>
        <v>8.82</v>
      </c>
      <c r="G28" s="31">
        <v>8</v>
      </c>
      <c r="H28" s="31">
        <v>152.1</v>
      </c>
    </row>
    <row r="29" spans="1:17" customHeight="1" ht="18">
      <c r="A29" s="48" t="s">
        <v>29</v>
      </c>
      <c r="B29" s="4" t="s">
        <v>14</v>
      </c>
      <c r="C29" s="51">
        <v>40</v>
      </c>
      <c r="D29" s="21">
        <v>4.16</v>
      </c>
      <c r="E29" s="4">
        <f>7.9/100*30</f>
        <v>2.37</v>
      </c>
      <c r="F29" s="4">
        <f>1/100*30</f>
        <v>0.3</v>
      </c>
      <c r="G29" s="4">
        <f>48.3/100*30</f>
        <v>14.49</v>
      </c>
      <c r="H29" s="4">
        <v>70.14</v>
      </c>
    </row>
    <row r="30" spans="1:17" customHeight="1" ht="18" s="8" customFormat="1">
      <c r="A30" s="45">
        <v>300</v>
      </c>
      <c r="B30" s="25" t="s">
        <v>33</v>
      </c>
      <c r="C30" s="51">
        <v>200</v>
      </c>
      <c r="D30" s="21">
        <v>3.52</v>
      </c>
      <c r="E30" s="4">
        <v>0.1</v>
      </c>
      <c r="F30" s="4">
        <v>0.0</v>
      </c>
      <c r="G30" s="4">
        <v>20.2</v>
      </c>
      <c r="H30" s="4">
        <v>81.2</v>
      </c>
    </row>
    <row r="31" spans="1:17" customHeight="1" ht="18" s="8" customFormat="1">
      <c r="A31" s="45" t="s">
        <v>18</v>
      </c>
      <c r="B31" s="14" t="s">
        <v>34</v>
      </c>
      <c r="C31" s="30">
        <v>100</v>
      </c>
      <c r="D31" s="41">
        <f>11.56+3.19</f>
        <v>14.75</v>
      </c>
      <c r="E31" s="17">
        <v>0.84115384615385</v>
      </c>
      <c r="F31" s="17">
        <v>0.18692307692308</v>
      </c>
      <c r="G31" s="17">
        <v>2.1426923076923</v>
      </c>
      <c r="H31" s="17">
        <v>13.62</v>
      </c>
    </row>
    <row r="32" spans="1:17" customHeight="1" ht="18">
      <c r="A32" s="45" t="s">
        <v>18</v>
      </c>
      <c r="B32" s="27" t="s">
        <v>35</v>
      </c>
      <c r="C32" s="30">
        <v>60</v>
      </c>
      <c r="D32" s="41">
        <v>13.63</v>
      </c>
      <c r="E32" s="17">
        <v>1.92</v>
      </c>
      <c r="F32" s="17">
        <v>6.5</v>
      </c>
      <c r="G32" s="17">
        <f>19.17+3</f>
        <v>22.17</v>
      </c>
      <c r="H32" s="17">
        <v>154.86</v>
      </c>
    </row>
    <row r="33" spans="1:17" customHeight="1" ht="18">
      <c r="A33" s="46"/>
      <c r="B33" s="9" t="s">
        <v>20</v>
      </c>
      <c r="C33" s="50">
        <f>SUM(C28:C32)</f>
        <v>515</v>
      </c>
      <c r="D33" s="35">
        <f>SUM(D28:D32)</f>
        <v>77.36</v>
      </c>
      <c r="E33" s="35">
        <f>SUM(E28:E32)</f>
        <v>15.411153846154</v>
      </c>
      <c r="F33" s="35">
        <f>SUM(F28:F32)</f>
        <v>15.806923076923</v>
      </c>
      <c r="G33" s="35">
        <f>SUM(G28:G32)</f>
        <v>67.002692307692</v>
      </c>
      <c r="H33" s="35">
        <f>SUM(H28:H32)</f>
        <v>471.92</v>
      </c>
      <c r="I33" s="11">
        <v>77.36</v>
      </c>
      <c r="J33" s="114">
        <f>D33-I33</f>
        <v>0</v>
      </c>
    </row>
    <row r="34" spans="1:17" customHeight="1" ht="18">
      <c r="A34" s="235" t="s">
        <v>21</v>
      </c>
      <c r="B34" s="236"/>
      <c r="C34" s="54"/>
      <c r="D34" s="36"/>
      <c r="E34" s="18"/>
      <c r="F34" s="18"/>
      <c r="G34" s="18"/>
      <c r="H34" s="18"/>
    </row>
    <row r="35" spans="1:17" customHeight="1" ht="18">
      <c r="A35" s="45">
        <v>62</v>
      </c>
      <c r="B35" s="1" t="s">
        <v>36</v>
      </c>
      <c r="C35" s="29">
        <v>200</v>
      </c>
      <c r="D35" s="21">
        <v>12.75</v>
      </c>
      <c r="E35" s="16">
        <v>5.8</v>
      </c>
      <c r="F35" s="16">
        <v>4.3</v>
      </c>
      <c r="G35" s="16">
        <v>27.8</v>
      </c>
      <c r="H35" s="4">
        <v>173.1</v>
      </c>
    </row>
    <row r="36" spans="1:17" customHeight="1" ht="18">
      <c r="A36" s="45">
        <v>158</v>
      </c>
      <c r="B36" s="25" t="s">
        <v>37</v>
      </c>
      <c r="C36" s="57">
        <v>220</v>
      </c>
      <c r="D36" s="41">
        <f>19.54+3.5+10.48+0.96+6.63+3.19</f>
        <v>44.3</v>
      </c>
      <c r="E36" s="14">
        <v>10.35</v>
      </c>
      <c r="F36" s="19">
        <f>13.2/180*220+1.61</f>
        <v>17.743333333333</v>
      </c>
      <c r="G36" s="19">
        <f>15.06+1.08-2.25</f>
        <v>13.89</v>
      </c>
      <c r="H36" s="15">
        <f>256.65+0.47</f>
        <v>257.12</v>
      </c>
    </row>
    <row r="37" spans="1:17" customHeight="1" ht="18">
      <c r="A37" s="45" t="s">
        <v>38</v>
      </c>
      <c r="B37" s="25" t="s">
        <v>39</v>
      </c>
      <c r="C37" s="51">
        <v>60</v>
      </c>
      <c r="D37" s="41">
        <v>6.3</v>
      </c>
      <c r="E37" s="22">
        <v>2.4</v>
      </c>
      <c r="F37" s="22">
        <v>0.9</v>
      </c>
      <c r="G37" s="22">
        <v>17.1</v>
      </c>
      <c r="H37" s="22">
        <v>83.4</v>
      </c>
    </row>
    <row r="38" spans="1:17" customHeight="1" ht="18">
      <c r="A38" s="45">
        <v>300</v>
      </c>
      <c r="B38" s="25" t="s">
        <v>40</v>
      </c>
      <c r="C38" s="51">
        <v>200</v>
      </c>
      <c r="D38" s="21">
        <v>7.09</v>
      </c>
      <c r="E38" s="22">
        <v>0.2</v>
      </c>
      <c r="F38" s="22">
        <v>0.1</v>
      </c>
      <c r="G38" s="22">
        <v>17.2</v>
      </c>
      <c r="H38" s="13">
        <v>70</v>
      </c>
    </row>
    <row r="39" spans="1:17" customHeight="1" ht="18" s="8" customFormat="1">
      <c r="A39" s="48" t="s">
        <v>27</v>
      </c>
      <c r="B39" s="4" t="s">
        <v>28</v>
      </c>
      <c r="C39" s="51">
        <v>30</v>
      </c>
      <c r="D39" s="21">
        <v>2.76</v>
      </c>
      <c r="E39" s="2">
        <f>6.6/100*30</f>
        <v>1.98</v>
      </c>
      <c r="F39" s="52">
        <f>1.2/100*30</f>
        <v>0.36</v>
      </c>
      <c r="G39" s="2">
        <f>33.4/100*30</f>
        <v>10.02</v>
      </c>
      <c r="H39" s="2">
        <v>51.24</v>
      </c>
    </row>
    <row r="40" spans="1:17" customHeight="1" ht="18" s="8" customFormat="1">
      <c r="A40" s="48" t="s">
        <v>29</v>
      </c>
      <c r="B40" s="4" t="s">
        <v>14</v>
      </c>
      <c r="C40" s="51">
        <v>40</v>
      </c>
      <c r="D40" s="21">
        <f>3.12/30*40</f>
        <v>4.16</v>
      </c>
      <c r="E40" s="4">
        <f>7.9/100*30</f>
        <v>2.37</v>
      </c>
      <c r="F40" s="4">
        <f>1/100*30</f>
        <v>0.3</v>
      </c>
      <c r="G40" s="4">
        <f>48.3/100*30</f>
        <v>14.49</v>
      </c>
      <c r="H40" s="4">
        <v>70.14</v>
      </c>
    </row>
    <row r="41" spans="1:17" customHeight="1" ht="18" s="8" customFormat="1">
      <c r="A41" s="47"/>
      <c r="B41" s="9" t="s">
        <v>20</v>
      </c>
      <c r="C41" s="50">
        <f>SUM(C35:C40)</f>
        <v>750</v>
      </c>
      <c r="D41" s="75">
        <f>SUM(D35:D40)</f>
        <v>77.36</v>
      </c>
      <c r="E41" s="75">
        <f>SUM(E35:E40)</f>
        <v>23.1</v>
      </c>
      <c r="F41" s="75">
        <f>SUM(F35:F40)</f>
        <v>23.703333333333</v>
      </c>
      <c r="G41" s="75">
        <f>SUM(G35:G40)</f>
        <v>100.5</v>
      </c>
      <c r="H41" s="75">
        <f>SUM(H35:H40)</f>
        <v>705</v>
      </c>
      <c r="I41" s="8">
        <v>77.36</v>
      </c>
      <c r="J41" s="120">
        <f>D41-I41</f>
        <v>0</v>
      </c>
    </row>
    <row r="42" spans="1:17" customHeight="1" ht="18">
      <c r="A42" s="47"/>
      <c r="B42" s="3" t="s">
        <v>30</v>
      </c>
      <c r="C42" s="50"/>
      <c r="D42" s="35"/>
      <c r="E42" s="35">
        <f>E33+E41</f>
        <v>38.511153846154</v>
      </c>
      <c r="F42" s="35">
        <f>F33+F41</f>
        <v>39.510256410256</v>
      </c>
      <c r="G42" s="35">
        <f>G33+G41</f>
        <v>167.50269230769</v>
      </c>
      <c r="H42" s="35">
        <f>H33+H41</f>
        <v>1176.92</v>
      </c>
    </row>
    <row r="43" spans="1:17" customHeight="1" ht="30">
      <c r="A43" s="249" t="s">
        <v>41</v>
      </c>
      <c r="B43" s="249"/>
      <c r="C43" s="174"/>
      <c r="D43" s="18"/>
      <c r="E43" s="18"/>
      <c r="F43" s="18"/>
      <c r="G43" s="18"/>
      <c r="H43" s="18"/>
    </row>
    <row r="44" spans="1:17" customHeight="1" ht="15.75">
      <c r="A44" s="240" t="s">
        <v>42</v>
      </c>
      <c r="B44" s="240"/>
      <c r="C44" s="44"/>
      <c r="D44" s="36"/>
      <c r="E44" s="115"/>
      <c r="F44" s="18"/>
      <c r="G44" s="18"/>
      <c r="H44" s="18"/>
    </row>
    <row r="45" spans="1:17" customHeight="1" ht="18">
      <c r="A45" s="45">
        <v>208</v>
      </c>
      <c r="B45" s="4" t="s">
        <v>43</v>
      </c>
      <c r="C45" s="51">
        <v>200</v>
      </c>
      <c r="D45" s="41">
        <v>29.11</v>
      </c>
      <c r="E45" s="17">
        <v>12.31</v>
      </c>
      <c r="F45" s="17">
        <f>12.744938271605+1.18+1.5</f>
        <v>15.424938271605</v>
      </c>
      <c r="G45" s="17">
        <f>40.246913580247-27.11+17.39</f>
        <v>30.526913580247</v>
      </c>
      <c r="H45" s="73">
        <v>310.17</v>
      </c>
    </row>
    <row r="46" spans="1:17" customHeight="1" ht="18">
      <c r="A46" s="48" t="s">
        <v>29</v>
      </c>
      <c r="B46" s="4" t="s">
        <v>44</v>
      </c>
      <c r="C46" s="51">
        <v>50</v>
      </c>
      <c r="D46" s="21">
        <v>27.7</v>
      </c>
      <c r="E46" s="4">
        <f>7.9/100*30-0.08</f>
        <v>2.29</v>
      </c>
      <c r="F46" s="4">
        <f>1/100*30-0.08</f>
        <v>0.22</v>
      </c>
      <c r="G46" s="4">
        <f>48.3/100*30</f>
        <v>14.49</v>
      </c>
      <c r="H46" s="4">
        <f>69.1-1.82</f>
        <v>67.28</v>
      </c>
    </row>
    <row r="47" spans="1:17" customHeight="1" ht="18">
      <c r="A47" s="45" t="s">
        <v>18</v>
      </c>
      <c r="B47" s="14" t="s">
        <v>34</v>
      </c>
      <c r="C47" s="30">
        <v>100</v>
      </c>
      <c r="D47" s="41">
        <f>13.841666666667+3.19</f>
        <v>17.031666666667</v>
      </c>
      <c r="E47" s="17">
        <v>0.70096153846154</v>
      </c>
      <c r="F47" s="17">
        <v>0.15576923076923</v>
      </c>
      <c r="G47" s="17">
        <v>1.7855769230769</v>
      </c>
      <c r="H47" s="17">
        <v>11.35</v>
      </c>
    </row>
    <row r="48" spans="1:17" customHeight="1" ht="18">
      <c r="A48" s="45">
        <v>300</v>
      </c>
      <c r="B48" s="25" t="s">
        <v>33</v>
      </c>
      <c r="C48" s="51">
        <v>200</v>
      </c>
      <c r="D48" s="21">
        <v>3.52</v>
      </c>
      <c r="E48" s="4">
        <v>0.1</v>
      </c>
      <c r="F48" s="4">
        <v>0.0</v>
      </c>
      <c r="G48" s="4">
        <v>20.2</v>
      </c>
      <c r="H48" s="4">
        <v>81.2</v>
      </c>
    </row>
    <row r="49" spans="1:17" customHeight="1" ht="18">
      <c r="A49" s="47"/>
      <c r="B49" s="9" t="s">
        <v>20</v>
      </c>
      <c r="C49" s="50">
        <f>SUM(C45:C48)</f>
        <v>550</v>
      </c>
      <c r="D49" s="35">
        <f>SUM(D45:D48)</f>
        <v>77.361666666667</v>
      </c>
      <c r="E49" s="5">
        <f>SUM(E45:E48)</f>
        <v>15.400961538462</v>
      </c>
      <c r="F49" s="5">
        <f>SUM(F45:F48)</f>
        <v>15.800707502374</v>
      </c>
      <c r="G49" s="5">
        <f>SUM(G45:G48)</f>
        <v>67.002490503324</v>
      </c>
      <c r="H49" s="5">
        <f>SUM(H45:H48)</f>
        <v>470</v>
      </c>
      <c r="I49" s="11">
        <v>77.36</v>
      </c>
      <c r="J49" s="114">
        <f>D49-I49</f>
        <v>0.0016666666670062</v>
      </c>
    </row>
    <row r="50" spans="1:17" customHeight="1" ht="18">
      <c r="A50" s="235" t="s">
        <v>21</v>
      </c>
      <c r="B50" s="236"/>
      <c r="C50" s="54"/>
      <c r="D50" s="36"/>
      <c r="E50" s="18"/>
      <c r="F50" s="18"/>
      <c r="G50" s="18"/>
      <c r="H50" s="18"/>
    </row>
    <row r="51" spans="1:17" customHeight="1" ht="18">
      <c r="A51" s="92">
        <v>55</v>
      </c>
      <c r="B51" s="20" t="s">
        <v>45</v>
      </c>
      <c r="C51" s="29">
        <v>200</v>
      </c>
      <c r="D51" s="41">
        <v>12.75</v>
      </c>
      <c r="E51" s="19">
        <v>6.25</v>
      </c>
      <c r="F51" s="19">
        <v>9.7</v>
      </c>
      <c r="G51" s="19">
        <f>31.8-13</f>
        <v>18.8</v>
      </c>
      <c r="H51" s="19">
        <v>187.5</v>
      </c>
    </row>
    <row r="52" spans="1:17" customHeight="1" ht="18">
      <c r="A52" s="92">
        <v>158</v>
      </c>
      <c r="B52" s="116" t="s">
        <v>46</v>
      </c>
      <c r="C52" s="57">
        <v>90</v>
      </c>
      <c r="D52" s="41">
        <f>35.52+0.6</f>
        <v>36.12</v>
      </c>
      <c r="E52" s="14">
        <f>12.65-4.6-0.4</f>
        <v>7.65</v>
      </c>
      <c r="F52" s="19">
        <f>13.2/180*220-5-0.25</f>
        <v>10.883333333333</v>
      </c>
      <c r="G52" s="19">
        <f>15.06+0.46</f>
        <v>15.52</v>
      </c>
      <c r="H52" s="15">
        <f>192.64-4.75</f>
        <v>187.89</v>
      </c>
    </row>
    <row r="53" spans="1:17" customHeight="1" ht="18">
      <c r="A53" s="92">
        <v>146</v>
      </c>
      <c r="B53" s="20" t="s">
        <v>47</v>
      </c>
      <c r="C53" s="57">
        <v>150</v>
      </c>
      <c r="D53" s="41">
        <v>14.88</v>
      </c>
      <c r="E53" s="19">
        <v>4.75</v>
      </c>
      <c r="F53" s="19">
        <v>2.46</v>
      </c>
      <c r="G53" s="19">
        <v>21.47</v>
      </c>
      <c r="H53" s="15">
        <v>127.03</v>
      </c>
    </row>
    <row r="54" spans="1:17" customHeight="1" ht="18" s="8" customFormat="1">
      <c r="A54" s="92">
        <v>300</v>
      </c>
      <c r="B54" s="76" t="s">
        <v>26</v>
      </c>
      <c r="C54" s="51">
        <v>200</v>
      </c>
      <c r="D54" s="21">
        <v>7.73</v>
      </c>
      <c r="E54" s="4">
        <v>0.1</v>
      </c>
      <c r="F54" s="4">
        <v>0.0</v>
      </c>
      <c r="G54" s="4">
        <v>20.2</v>
      </c>
      <c r="H54" s="4">
        <v>81.2</v>
      </c>
    </row>
    <row r="55" spans="1:17" customHeight="1" ht="18" s="8" customFormat="1">
      <c r="A55" s="101" t="s">
        <v>27</v>
      </c>
      <c r="B55" s="4" t="s">
        <v>28</v>
      </c>
      <c r="C55" s="51">
        <v>30</v>
      </c>
      <c r="D55" s="21">
        <v>2.76</v>
      </c>
      <c r="E55" s="2">
        <f>6.6/100*30</f>
        <v>1.98</v>
      </c>
      <c r="F55" s="52">
        <f>1.2/100*30</f>
        <v>0.36</v>
      </c>
      <c r="G55" s="2">
        <f>33.4/100*30</f>
        <v>10.02</v>
      </c>
      <c r="H55" s="2">
        <v>51.24</v>
      </c>
    </row>
    <row r="56" spans="1:17" customHeight="1" ht="18" s="8" customFormat="1">
      <c r="A56" s="101" t="s">
        <v>29</v>
      </c>
      <c r="B56" s="4" t="s">
        <v>14</v>
      </c>
      <c r="C56" s="51">
        <v>30</v>
      </c>
      <c r="D56" s="21">
        <v>3.12</v>
      </c>
      <c r="E56" s="4">
        <f>7.9/100*30</f>
        <v>2.37</v>
      </c>
      <c r="F56" s="4">
        <f>1/100*30</f>
        <v>0.3</v>
      </c>
      <c r="G56" s="4">
        <f>48.3/100*30</f>
        <v>14.49</v>
      </c>
      <c r="H56" s="4">
        <v>70.14</v>
      </c>
    </row>
    <row r="57" spans="1:17" customHeight="1" ht="18">
      <c r="A57" s="47"/>
      <c r="B57" s="9" t="s">
        <v>20</v>
      </c>
      <c r="C57" s="50">
        <f>SUM(C51:C56)</f>
        <v>700</v>
      </c>
      <c r="D57" s="35">
        <f>SUM(D51:D56)</f>
        <v>77.36</v>
      </c>
      <c r="E57" s="35">
        <f>SUM(E51:E56)</f>
        <v>23.1</v>
      </c>
      <c r="F57" s="35">
        <f>SUM(F51:F56)</f>
        <v>23.703333333333</v>
      </c>
      <c r="G57" s="35">
        <f>SUM(G51:G56)</f>
        <v>100.5</v>
      </c>
      <c r="H57" s="5">
        <f>SUM(H51:H56)</f>
        <v>705</v>
      </c>
      <c r="I57" s="11">
        <v>77.36</v>
      </c>
      <c r="J57" s="114">
        <f>I57-D57</f>
        <v>-1.4210854715202E-14</v>
      </c>
    </row>
    <row r="58" spans="1:17" customHeight="1" ht="18">
      <c r="A58" s="47"/>
      <c r="B58" s="3" t="s">
        <v>30</v>
      </c>
      <c r="C58" s="50"/>
      <c r="D58" s="68"/>
      <c r="E58" s="68">
        <f>E49+E57</f>
        <v>38.500961538462</v>
      </c>
      <c r="F58" s="68">
        <f>F49+F57</f>
        <v>39.504040835708</v>
      </c>
      <c r="G58" s="68">
        <f>G49+G57</f>
        <v>167.50249050332</v>
      </c>
      <c r="H58" s="68">
        <f>H49+H57</f>
        <v>1175</v>
      </c>
    </row>
    <row r="59" spans="1:17" customHeight="1" ht="18">
      <c r="A59" s="249" t="s">
        <v>48</v>
      </c>
      <c r="B59" s="249"/>
      <c r="C59" s="174"/>
      <c r="D59" s="18"/>
      <c r="E59" s="18"/>
      <c r="F59" s="18"/>
      <c r="G59" s="18"/>
      <c r="H59" s="18"/>
    </row>
    <row r="60" spans="1:17" customHeight="1" ht="18">
      <c r="A60" s="249" t="s">
        <v>42</v>
      </c>
      <c r="B60" s="249"/>
      <c r="C60" s="174"/>
      <c r="D60" s="36"/>
      <c r="E60" s="10"/>
      <c r="F60" s="18"/>
      <c r="G60" s="10"/>
      <c r="H60" s="18"/>
    </row>
    <row r="61" spans="1:17" customHeight="1" ht="18">
      <c r="A61" s="45">
        <v>96</v>
      </c>
      <c r="B61" s="1" t="s">
        <v>49</v>
      </c>
      <c r="C61" s="29">
        <v>90</v>
      </c>
      <c r="D61" s="21">
        <v>52.35</v>
      </c>
      <c r="E61" s="16">
        <f>14.02-7</f>
        <v>7.02</v>
      </c>
      <c r="F61" s="16">
        <f>9.3-1.96</f>
        <v>7.34</v>
      </c>
      <c r="G61" s="16">
        <v>7.1</v>
      </c>
      <c r="H61" s="16">
        <v>122.54</v>
      </c>
    </row>
    <row r="62" spans="1:17" customHeight="1" ht="18">
      <c r="A62" s="48" t="s">
        <v>24</v>
      </c>
      <c r="B62" s="1" t="s">
        <v>25</v>
      </c>
      <c r="C62" s="98">
        <v>180</v>
      </c>
      <c r="D62" s="41">
        <f>15.18+3.19</f>
        <v>18.37</v>
      </c>
      <c r="E62" s="19">
        <f>12.72-6.81</f>
        <v>5.91</v>
      </c>
      <c r="F62" s="19">
        <v>8.16</v>
      </c>
      <c r="G62" s="19">
        <f>30.36-5.15</f>
        <v>25.21</v>
      </c>
      <c r="H62" s="19">
        <v>197.92</v>
      </c>
    </row>
    <row r="63" spans="1:17" customHeight="1" ht="18" s="8" customFormat="1">
      <c r="A63" s="45">
        <v>300</v>
      </c>
      <c r="B63" s="25" t="s">
        <v>33</v>
      </c>
      <c r="C63" s="99">
        <v>200</v>
      </c>
      <c r="D63" s="21">
        <v>3.52</v>
      </c>
      <c r="E63" s="4">
        <v>0.1</v>
      </c>
      <c r="F63" s="4">
        <v>0.0</v>
      </c>
      <c r="G63" s="4">
        <v>20.2</v>
      </c>
      <c r="H63" s="4">
        <v>81.2</v>
      </c>
    </row>
    <row r="64" spans="1:17" customHeight="1" ht="18">
      <c r="A64" s="48" t="s">
        <v>29</v>
      </c>
      <c r="B64" s="4" t="s">
        <v>14</v>
      </c>
      <c r="C64" s="51">
        <v>30</v>
      </c>
      <c r="D64" s="21">
        <v>3.12</v>
      </c>
      <c r="E64" s="4">
        <f>7.9/100*30</f>
        <v>2.37</v>
      </c>
      <c r="F64" s="4">
        <f>1/100*30</f>
        <v>0.3</v>
      </c>
      <c r="G64" s="4">
        <f>48.3/100*30</f>
        <v>14.49</v>
      </c>
      <c r="H64" s="4">
        <v>70.14</v>
      </c>
    </row>
    <row r="65" spans="1:17" customHeight="1" ht="18">
      <c r="A65" s="47"/>
      <c r="B65" s="9" t="s">
        <v>20</v>
      </c>
      <c r="C65" s="50">
        <f>SUM(C61:C64)</f>
        <v>500</v>
      </c>
      <c r="D65" s="86">
        <f>SUM(D61:D64)</f>
        <v>77.36</v>
      </c>
      <c r="E65" s="35">
        <f>SUM(E61:E64)</f>
        <v>15.4</v>
      </c>
      <c r="F65" s="35">
        <f>SUM(F61:F64)</f>
        <v>15.8</v>
      </c>
      <c r="G65" s="35">
        <f>SUM(G61:G64)</f>
        <v>67</v>
      </c>
      <c r="H65" s="35">
        <f>SUM(H61:H64)</f>
        <v>471.8</v>
      </c>
      <c r="I65" s="11">
        <v>77.36</v>
      </c>
      <c r="J65" s="121">
        <f>D65-I65</f>
        <v>0</v>
      </c>
    </row>
    <row r="66" spans="1:17" customHeight="1" ht="18">
      <c r="A66" s="235" t="s">
        <v>21</v>
      </c>
      <c r="B66" s="236"/>
      <c r="C66" s="54"/>
      <c r="D66" s="36"/>
      <c r="E66" s="18"/>
      <c r="F66" s="18"/>
      <c r="G66" s="18"/>
      <c r="H66" s="18"/>
    </row>
    <row r="67" spans="1:17" customHeight="1" ht="15.75">
      <c r="A67" s="92" t="s">
        <v>18</v>
      </c>
      <c r="B67" s="14" t="s">
        <v>39</v>
      </c>
      <c r="C67" s="51">
        <v>60</v>
      </c>
      <c r="D67" s="96">
        <v>7</v>
      </c>
      <c r="E67" s="22">
        <v>2.4</v>
      </c>
      <c r="F67" s="22">
        <v>0.9</v>
      </c>
      <c r="G67" s="22">
        <v>17.1</v>
      </c>
      <c r="H67" s="22">
        <v>83.4</v>
      </c>
    </row>
    <row r="68" spans="1:17" customHeight="1" ht="18" s="8" customFormat="1">
      <c r="A68" s="45">
        <v>55</v>
      </c>
      <c r="B68" s="14" t="s">
        <v>50</v>
      </c>
      <c r="C68" s="57">
        <v>220</v>
      </c>
      <c r="D68" s="41">
        <v>16.25</v>
      </c>
      <c r="E68" s="14">
        <v>2</v>
      </c>
      <c r="F68" s="14">
        <v>9.4</v>
      </c>
      <c r="G68" s="14">
        <v>17.8</v>
      </c>
      <c r="H68" s="14">
        <v>163.8</v>
      </c>
    </row>
    <row r="69" spans="1:17" customHeight="1" ht="18" s="8" customFormat="1">
      <c r="A69" s="92">
        <v>107</v>
      </c>
      <c r="B69" s="25" t="s">
        <v>51</v>
      </c>
      <c r="C69" s="57">
        <v>90</v>
      </c>
      <c r="D69" s="21">
        <v>32.13</v>
      </c>
      <c r="E69" s="22">
        <f>8.82+0.67</f>
        <v>9.49</v>
      </c>
      <c r="F69" s="22">
        <f>5.04+0.31</f>
        <v>5.35</v>
      </c>
      <c r="G69" s="22">
        <f>18.78-4.81</f>
        <v>13.97</v>
      </c>
      <c r="H69" s="22">
        <f>155.76-13.74</f>
        <v>142.02</v>
      </c>
    </row>
    <row r="70" spans="1:17" customHeight="1" ht="18">
      <c r="A70" s="92">
        <v>227</v>
      </c>
      <c r="B70" s="1" t="s">
        <v>52</v>
      </c>
      <c r="C70" s="57">
        <v>150</v>
      </c>
      <c r="D70" s="41">
        <v>11.49</v>
      </c>
      <c r="E70" s="31">
        <v>7.1253333333333</v>
      </c>
      <c r="F70" s="31">
        <v>7.69</v>
      </c>
      <c r="G70" s="31">
        <v>21.408</v>
      </c>
      <c r="H70" s="31">
        <v>183.34</v>
      </c>
    </row>
    <row r="71" spans="1:17" customHeight="1" ht="18">
      <c r="A71" s="45">
        <v>300</v>
      </c>
      <c r="B71" s="76" t="s">
        <v>53</v>
      </c>
      <c r="C71" s="51">
        <v>200</v>
      </c>
      <c r="D71" s="21">
        <v>7.73</v>
      </c>
      <c r="E71" s="4">
        <v>0.1</v>
      </c>
      <c r="F71" s="4">
        <v>0.0</v>
      </c>
      <c r="G71" s="4">
        <v>20.2</v>
      </c>
      <c r="H71" s="4">
        <v>81.2</v>
      </c>
    </row>
    <row r="72" spans="1:17" customHeight="1" ht="18">
      <c r="A72" s="101" t="s">
        <v>27</v>
      </c>
      <c r="B72" s="4" t="s">
        <v>28</v>
      </c>
      <c r="C72" s="51">
        <v>40</v>
      </c>
      <c r="D72" s="21">
        <v>2.76</v>
      </c>
      <c r="E72" s="2">
        <f>6.6/100*30</f>
        <v>1.98</v>
      </c>
      <c r="F72" s="52">
        <f>1.2/100*30</f>
        <v>0.36</v>
      </c>
      <c r="G72" s="2">
        <f>33.4/100*30</f>
        <v>10.02</v>
      </c>
      <c r="H72" s="2">
        <v>51.24</v>
      </c>
    </row>
    <row r="73" spans="1:17" customHeight="1" ht="18">
      <c r="A73" s="47"/>
      <c r="B73" s="9" t="s">
        <v>20</v>
      </c>
      <c r="C73" s="50">
        <f>SUM(C67:C72)</f>
        <v>760</v>
      </c>
      <c r="D73" s="35">
        <f>SUM(D67:D72)</f>
        <v>77.36</v>
      </c>
      <c r="E73" s="5">
        <f>SUM(E67:E72)</f>
        <v>23.095333333333</v>
      </c>
      <c r="F73" s="5">
        <f>SUM(F67:F72)</f>
        <v>23.7</v>
      </c>
      <c r="G73" s="5">
        <f>SUM(G67:G72)</f>
        <v>100.498</v>
      </c>
      <c r="H73" s="5">
        <f>SUM(H67:H72)</f>
        <v>705</v>
      </c>
      <c r="I73" s="114">
        <v>77.36</v>
      </c>
      <c r="J73" s="114">
        <f>D73-I73</f>
        <v>1.4210854715202E-14</v>
      </c>
    </row>
    <row r="74" spans="1:17" customHeight="1" ht="18">
      <c r="A74" s="47"/>
      <c r="B74" s="3" t="s">
        <v>30</v>
      </c>
      <c r="C74" s="50"/>
      <c r="D74" s="64"/>
      <c r="E74" s="6">
        <f>E65+E73</f>
        <v>38.495333333333</v>
      </c>
      <c r="F74" s="6">
        <f>F65+F73</f>
        <v>39.5</v>
      </c>
      <c r="G74" s="6">
        <f>G65+G73</f>
        <v>167.498</v>
      </c>
      <c r="H74" s="6">
        <f>H65+H73</f>
        <v>1176.8</v>
      </c>
    </row>
    <row r="75" spans="1:17" customHeight="1" ht="18">
      <c r="A75" s="249" t="s">
        <v>54</v>
      </c>
      <c r="B75" s="249"/>
      <c r="C75" s="174"/>
      <c r="D75" s="18"/>
      <c r="E75" s="18"/>
      <c r="F75" s="18"/>
      <c r="G75" s="18"/>
      <c r="H75" s="18"/>
    </row>
    <row r="76" spans="1:17" customHeight="1" ht="18">
      <c r="A76" s="249" t="s">
        <v>42</v>
      </c>
      <c r="B76" s="249"/>
      <c r="C76" s="174"/>
      <c r="D76" s="36"/>
      <c r="E76" s="18"/>
      <c r="F76" s="10"/>
      <c r="G76" s="10"/>
      <c r="H76" s="18"/>
    </row>
    <row r="77" spans="1:17" customHeight="1" ht="18">
      <c r="A77" s="45">
        <v>110</v>
      </c>
      <c r="B77" s="93" t="s">
        <v>55</v>
      </c>
      <c r="C77" s="56">
        <v>100</v>
      </c>
      <c r="D77" s="21">
        <f>40.65+4.6-3.12</f>
        <v>42.13</v>
      </c>
      <c r="E77" s="31">
        <v>6.68</v>
      </c>
      <c r="F77" s="31">
        <v>2.82</v>
      </c>
      <c r="G77" s="31">
        <v>8.7</v>
      </c>
      <c r="H77" s="31">
        <v>72.9</v>
      </c>
    </row>
    <row r="78" spans="1:17" customHeight="1" ht="18">
      <c r="A78" s="45">
        <v>227</v>
      </c>
      <c r="B78" s="93" t="s">
        <v>56</v>
      </c>
      <c r="C78" s="51">
        <v>150</v>
      </c>
      <c r="D78" s="41">
        <v>14.61</v>
      </c>
      <c r="E78" s="17">
        <f>4.375-0.05</f>
        <v>4.325</v>
      </c>
      <c r="F78" s="17">
        <f>6.75-0.57</f>
        <v>6.18</v>
      </c>
      <c r="G78" s="17">
        <f>23.75-12.31</f>
        <v>11.44</v>
      </c>
      <c r="H78" s="17">
        <f>138.6-7.7</f>
        <v>130.9</v>
      </c>
    </row>
    <row r="79" spans="1:17" customHeight="1" ht="18">
      <c r="A79" s="48" t="s">
        <v>29</v>
      </c>
      <c r="B79" s="4" t="s">
        <v>14</v>
      </c>
      <c r="C79" s="51">
        <v>30</v>
      </c>
      <c r="D79" s="21">
        <v>3.12</v>
      </c>
      <c r="E79" s="4">
        <f>7.9/100*30</f>
        <v>2.37</v>
      </c>
      <c r="F79" s="4">
        <f>1/100*30</f>
        <v>0.3</v>
      </c>
      <c r="G79" s="4">
        <f>48.3/100*30</f>
        <v>14.49</v>
      </c>
      <c r="H79" s="4">
        <v>70.14</v>
      </c>
    </row>
    <row r="80" spans="1:17" customHeight="1" ht="18">
      <c r="A80" s="45">
        <v>300</v>
      </c>
      <c r="B80" s="25" t="s">
        <v>33</v>
      </c>
      <c r="C80" s="99">
        <v>200</v>
      </c>
      <c r="D80" s="21">
        <v>3.52</v>
      </c>
      <c r="E80" s="4">
        <v>0.1</v>
      </c>
      <c r="F80" s="4">
        <v>0.0</v>
      </c>
      <c r="G80" s="4">
        <v>20.2</v>
      </c>
      <c r="H80" s="4">
        <v>81.2</v>
      </c>
    </row>
    <row r="81" spans="1:17" customHeight="1" ht="18">
      <c r="A81" s="45" t="s">
        <v>18</v>
      </c>
      <c r="B81" s="27" t="s">
        <v>35</v>
      </c>
      <c r="C81" s="30">
        <v>60</v>
      </c>
      <c r="D81" s="41">
        <f>13.63+0.35</f>
        <v>13.98</v>
      </c>
      <c r="E81" s="17">
        <v>1.92</v>
      </c>
      <c r="F81" s="17">
        <v>6.5</v>
      </c>
      <c r="G81" s="17">
        <v>12.17</v>
      </c>
      <c r="H81" s="17">
        <v>114.86</v>
      </c>
    </row>
    <row r="82" spans="1:17" customHeight="1" ht="18">
      <c r="A82" s="47"/>
      <c r="B82" s="9" t="s">
        <v>20</v>
      </c>
      <c r="C82" s="50">
        <f>SUM(C77:C81)</f>
        <v>540</v>
      </c>
      <c r="D82" s="35">
        <f>SUM(D77:D81)</f>
        <v>77.36</v>
      </c>
      <c r="E82" s="5">
        <f>SUM(E77:E81)</f>
        <v>15.395</v>
      </c>
      <c r="F82" s="5">
        <f>SUM(F77:F81)</f>
        <v>15.8</v>
      </c>
      <c r="G82" s="5">
        <f>SUM(G77:G81)</f>
        <v>67</v>
      </c>
      <c r="H82" s="5">
        <f>SUM(H77:H81)</f>
        <v>470</v>
      </c>
      <c r="I82" s="11">
        <v>77.36</v>
      </c>
      <c r="J82" s="114">
        <f>D82-I82</f>
        <v>0</v>
      </c>
    </row>
    <row r="83" spans="1:17" customHeight="1" ht="18">
      <c r="A83" s="235" t="s">
        <v>21</v>
      </c>
      <c r="B83" s="236"/>
      <c r="C83" s="54"/>
      <c r="D83" s="36"/>
      <c r="E83" s="18"/>
      <c r="F83" s="18"/>
      <c r="G83" s="18"/>
      <c r="H83" s="18"/>
    </row>
    <row r="84" spans="1:17" customHeight="1" ht="18">
      <c r="A84" s="45">
        <v>65</v>
      </c>
      <c r="B84" s="20" t="s">
        <v>57</v>
      </c>
      <c r="C84" s="62">
        <v>250</v>
      </c>
      <c r="D84" s="38">
        <v>12.11</v>
      </c>
      <c r="E84" s="13">
        <v>7.3</v>
      </c>
      <c r="F84" s="13">
        <f>4.4+3</f>
        <v>7.4</v>
      </c>
      <c r="G84" s="13">
        <v>27.8</v>
      </c>
      <c r="H84" s="13">
        <v>207</v>
      </c>
    </row>
    <row r="85" spans="1:17" customHeight="1" ht="18">
      <c r="A85" s="45">
        <v>259</v>
      </c>
      <c r="B85" s="25" t="s">
        <v>58</v>
      </c>
      <c r="C85" s="56">
        <v>220</v>
      </c>
      <c r="D85" s="21">
        <f>52.57+2.83</f>
        <v>55.4</v>
      </c>
      <c r="E85" s="63">
        <f>14.5-0.88</f>
        <v>13.62</v>
      </c>
      <c r="F85" s="63">
        <f>18.8-2.96</f>
        <v>15.84</v>
      </c>
      <c r="G85" s="63">
        <f>42.87+2.61</f>
        <v>45.48</v>
      </c>
      <c r="H85" s="63">
        <f>372.04+4.72</f>
        <v>376.76</v>
      </c>
    </row>
    <row r="86" spans="1:17" customHeight="1" ht="18" s="8" customFormat="1">
      <c r="A86" s="45">
        <v>300</v>
      </c>
      <c r="B86" s="25" t="s">
        <v>40</v>
      </c>
      <c r="C86" s="51">
        <v>200</v>
      </c>
      <c r="D86" s="21">
        <v>7.09</v>
      </c>
      <c r="E86" s="22">
        <v>0.2</v>
      </c>
      <c r="F86" s="22">
        <v>0.1</v>
      </c>
      <c r="G86" s="22">
        <v>17.2</v>
      </c>
      <c r="H86" s="13">
        <v>70</v>
      </c>
    </row>
    <row r="87" spans="1:17" customHeight="1" ht="18" s="8" customFormat="1">
      <c r="A87" s="48" t="s">
        <v>27</v>
      </c>
      <c r="B87" s="4" t="s">
        <v>28</v>
      </c>
      <c r="C87" s="59">
        <v>30</v>
      </c>
      <c r="D87" s="21">
        <v>2.76</v>
      </c>
      <c r="E87" s="2">
        <f>6.6/100*30</f>
        <v>1.98</v>
      </c>
      <c r="F87" s="52">
        <f>1.2/100*30</f>
        <v>0.36</v>
      </c>
      <c r="G87" s="2">
        <f>33.4/100*30</f>
        <v>10.02</v>
      </c>
      <c r="H87" s="2">
        <v>51.24</v>
      </c>
    </row>
    <row r="88" spans="1:17" customHeight="1" ht="18">
      <c r="A88" s="47"/>
      <c r="B88" s="9" t="s">
        <v>20</v>
      </c>
      <c r="C88" s="50">
        <f>SUM(C84:C87)</f>
        <v>700</v>
      </c>
      <c r="D88" s="35">
        <f>SUM(D84:D87)</f>
        <v>77.36</v>
      </c>
      <c r="E88" s="5">
        <f>SUM(E84:E87)</f>
        <v>23.1</v>
      </c>
      <c r="F88" s="5">
        <f>SUM(F84:F87)</f>
        <v>23.7</v>
      </c>
      <c r="G88" s="5">
        <f>SUM(G84:G87)</f>
        <v>100.5</v>
      </c>
      <c r="H88" s="5">
        <f>SUM(H84:H87)</f>
        <v>705</v>
      </c>
      <c r="I88" s="11">
        <v>77.36</v>
      </c>
      <c r="J88" s="114">
        <f>D88-I88</f>
        <v>0</v>
      </c>
    </row>
    <row r="89" spans="1:17" customHeight="1" ht="18">
      <c r="A89" s="47"/>
      <c r="B89" s="3" t="s">
        <v>30</v>
      </c>
      <c r="C89" s="50"/>
      <c r="D89" s="35"/>
      <c r="E89" s="6">
        <f>E82+E88</f>
        <v>38.495</v>
      </c>
      <c r="F89" s="6">
        <f>F82+F88</f>
        <v>39.5</v>
      </c>
      <c r="G89" s="6">
        <f>G82+G88</f>
        <v>167.5</v>
      </c>
      <c r="H89" s="6">
        <f>H82+H88</f>
        <v>1175</v>
      </c>
    </row>
    <row r="90" spans="1:17" customHeight="1" ht="18">
      <c r="A90" s="249" t="s">
        <v>59</v>
      </c>
      <c r="B90" s="249"/>
      <c r="C90" s="174"/>
      <c r="D90" s="18"/>
      <c r="E90" s="18"/>
      <c r="F90" s="18"/>
      <c r="G90" s="18"/>
      <c r="H90" s="18"/>
    </row>
    <row r="91" spans="1:17" customHeight="1" ht="18">
      <c r="A91" s="249" t="s">
        <v>42</v>
      </c>
      <c r="B91" s="249"/>
      <c r="C91" s="174"/>
      <c r="D91" s="36"/>
      <c r="E91" s="115"/>
      <c r="F91" s="115"/>
      <c r="G91" s="115"/>
      <c r="H91" s="115"/>
    </row>
    <row r="92" spans="1:17" customHeight="1" ht="18">
      <c r="A92" s="45">
        <v>208</v>
      </c>
      <c r="B92" s="4" t="s">
        <v>60</v>
      </c>
      <c r="C92" s="118" t="s">
        <v>149</v>
      </c>
      <c r="D92" s="41">
        <f>37.09-2.47-3.04-3</f>
        <v>28.58</v>
      </c>
      <c r="E92" s="17">
        <f>8.2716049382716+1.86+2-1</f>
        <v>11.131604938272</v>
      </c>
      <c r="F92" s="17">
        <f>13.744938271605-1.68</f>
        <v>12.064938271605</v>
      </c>
      <c r="G92" s="17">
        <f>40.246913580247-2.64-16+2.48</f>
        <v>24.086913580247</v>
      </c>
      <c r="H92" s="73">
        <f>258.66-11.05</f>
        <v>247.61</v>
      </c>
    </row>
    <row r="93" spans="1:17" customHeight="1" ht="18">
      <c r="A93" s="48" t="s">
        <v>29</v>
      </c>
      <c r="B93" s="4" t="s">
        <v>14</v>
      </c>
      <c r="C93" s="51">
        <v>40</v>
      </c>
      <c r="D93" s="21">
        <f>3.12/30*40</f>
        <v>4.16</v>
      </c>
      <c r="E93" s="4">
        <f>7.9/100*30</f>
        <v>2.37</v>
      </c>
      <c r="F93" s="4">
        <f>1/100*30</f>
        <v>0.3</v>
      </c>
      <c r="G93" s="4">
        <f>48.3/100*30</f>
        <v>14.49</v>
      </c>
      <c r="H93" s="4">
        <v>70.14</v>
      </c>
    </row>
    <row r="94" spans="1:17" customHeight="1" ht="15.75">
      <c r="A94" s="45" t="s">
        <v>18</v>
      </c>
      <c r="B94" s="27" t="s">
        <v>35</v>
      </c>
      <c r="C94" s="30">
        <v>30</v>
      </c>
      <c r="D94" s="41">
        <v>15.63</v>
      </c>
      <c r="E94" s="17">
        <v>0.96</v>
      </c>
      <c r="F94" s="17">
        <v>3.25</v>
      </c>
      <c r="G94" s="17">
        <v>6.085</v>
      </c>
      <c r="H94" s="17">
        <v>57.43</v>
      </c>
    </row>
    <row r="95" spans="1:17" customHeight="1" ht="15.75">
      <c r="A95" s="45">
        <v>300</v>
      </c>
      <c r="B95" s="25" t="s">
        <v>16</v>
      </c>
      <c r="C95" s="118" t="s">
        <v>17</v>
      </c>
      <c r="D95" s="21">
        <v>5.99</v>
      </c>
      <c r="E95" s="4">
        <v>0.1</v>
      </c>
      <c r="F95" s="4">
        <v>0.0</v>
      </c>
      <c r="G95" s="4">
        <v>20.2</v>
      </c>
      <c r="H95" s="4">
        <v>81.2</v>
      </c>
    </row>
    <row r="96" spans="1:17" customHeight="1" ht="18">
      <c r="A96" s="45" t="s">
        <v>18</v>
      </c>
      <c r="B96" s="14" t="s">
        <v>34</v>
      </c>
      <c r="C96" s="30">
        <v>100</v>
      </c>
      <c r="D96" s="41">
        <v>23</v>
      </c>
      <c r="E96" s="17">
        <v>0.84115384615385</v>
      </c>
      <c r="F96" s="17">
        <v>0.18692307692308</v>
      </c>
      <c r="G96" s="17">
        <v>2.1426923076923</v>
      </c>
      <c r="H96" s="17">
        <v>13.62</v>
      </c>
    </row>
    <row r="97" spans="1:17" customHeight="1" ht="18">
      <c r="A97" s="45"/>
      <c r="B97" s="9" t="s">
        <v>20</v>
      </c>
      <c r="C97" s="50">
        <f>210+40+30+200+100</f>
        <v>580</v>
      </c>
      <c r="D97" s="35">
        <f>SUM(D92:D96)</f>
        <v>77.36</v>
      </c>
      <c r="E97" s="35">
        <f>SUM(E92:E96)</f>
        <v>15.402758784425</v>
      </c>
      <c r="F97" s="35">
        <f>SUM(F92:F96)</f>
        <v>15.801861348528</v>
      </c>
      <c r="G97" s="35">
        <f>SUM(G92:G96)</f>
        <v>67.004605887939</v>
      </c>
      <c r="H97" s="35">
        <f>SUM(H92:H96)</f>
        <v>470</v>
      </c>
      <c r="I97" s="11">
        <v>77.36</v>
      </c>
      <c r="J97" s="114">
        <f>D97-I97</f>
        <v>1.4210854715202E-14</v>
      </c>
      <c r="N97" s="114"/>
    </row>
    <row r="98" spans="1:17" customHeight="1" ht="18">
      <c r="A98" s="235" t="s">
        <v>21</v>
      </c>
      <c r="B98" s="236"/>
      <c r="C98" s="34"/>
      <c r="D98" s="36"/>
      <c r="E98" s="18"/>
      <c r="F98" s="18"/>
      <c r="G98" s="18"/>
      <c r="H98" s="18"/>
    </row>
    <row r="99" spans="1:17" customHeight="1" ht="18">
      <c r="A99" s="45">
        <v>62</v>
      </c>
      <c r="B99" s="87" t="s">
        <v>62</v>
      </c>
      <c r="C99" s="58">
        <v>220</v>
      </c>
      <c r="D99" s="41">
        <v>14.025</v>
      </c>
      <c r="E99" s="16">
        <v>6.38</v>
      </c>
      <c r="F99" s="16">
        <v>7.73</v>
      </c>
      <c r="G99" s="16">
        <v>30.58</v>
      </c>
      <c r="H99" s="16">
        <v>215.41</v>
      </c>
    </row>
    <row r="100" spans="1:17" customHeight="1" ht="18">
      <c r="A100" s="45">
        <v>107</v>
      </c>
      <c r="B100" s="93" t="s">
        <v>63</v>
      </c>
      <c r="C100" s="60">
        <v>90</v>
      </c>
      <c r="D100" s="21">
        <f>36.51+3.12+2.22</f>
        <v>41.85</v>
      </c>
      <c r="E100" s="22">
        <f>8.82+3-4.41</f>
        <v>7.41</v>
      </c>
      <c r="F100" s="22">
        <f>7.05+0.77</f>
        <v>7.82</v>
      </c>
      <c r="G100" s="22">
        <f>20.78+0.51</f>
        <v>21.29</v>
      </c>
      <c r="H100" s="22">
        <v>185.18</v>
      </c>
    </row>
    <row r="101" spans="1:17" customHeight="1" ht="18" s="8" customFormat="1">
      <c r="A101" s="45">
        <v>227</v>
      </c>
      <c r="B101" s="1" t="s">
        <v>52</v>
      </c>
      <c r="C101" s="57">
        <v>150</v>
      </c>
      <c r="D101" s="41">
        <v>11.49</v>
      </c>
      <c r="E101" s="31">
        <v>7.1253333333333</v>
      </c>
      <c r="F101" s="31">
        <v>7.69</v>
      </c>
      <c r="G101" s="31">
        <v>21.408</v>
      </c>
      <c r="H101" s="31">
        <v>183.34</v>
      </c>
    </row>
    <row r="102" spans="1:17" customHeight="1" ht="18">
      <c r="A102" s="45">
        <v>311</v>
      </c>
      <c r="B102" s="13" t="s">
        <v>64</v>
      </c>
      <c r="C102" s="30">
        <v>200</v>
      </c>
      <c r="D102" s="21">
        <f>5.73+0.31+1.19</f>
        <v>7.23</v>
      </c>
      <c r="E102" s="22">
        <v>0.2</v>
      </c>
      <c r="F102" s="22">
        <v>0.1</v>
      </c>
      <c r="G102" s="22">
        <v>17.2</v>
      </c>
      <c r="H102" s="13">
        <v>70</v>
      </c>
    </row>
    <row r="103" spans="1:17" customHeight="1" ht="18">
      <c r="A103" s="48" t="s">
        <v>27</v>
      </c>
      <c r="B103" s="76" t="s">
        <v>28</v>
      </c>
      <c r="C103" s="51">
        <v>40</v>
      </c>
      <c r="D103" s="21">
        <v>2.76</v>
      </c>
      <c r="E103" s="2">
        <f>6.6/100*30</f>
        <v>1.98</v>
      </c>
      <c r="F103" s="52">
        <f>1.2/100*30</f>
        <v>0.36</v>
      </c>
      <c r="G103" s="2">
        <f>33.4/100*30</f>
        <v>10.02</v>
      </c>
      <c r="H103" s="2">
        <v>51.24</v>
      </c>
    </row>
    <row r="104" spans="1:17" customHeight="1" ht="18">
      <c r="A104" s="47"/>
      <c r="B104" s="9" t="s">
        <v>20</v>
      </c>
      <c r="C104" s="50">
        <f>SUM(C99:C103)</f>
        <v>700</v>
      </c>
      <c r="D104" s="35">
        <f>SUM(D99:D103)</f>
        <v>77.355</v>
      </c>
      <c r="E104" s="35">
        <f>SUM(E99:E103)</f>
        <v>23.095333333333</v>
      </c>
      <c r="F104" s="35">
        <f>SUM(F99:F103)</f>
        <v>23.7</v>
      </c>
      <c r="G104" s="35">
        <f>SUM(G99:G103)</f>
        <v>100.498</v>
      </c>
      <c r="H104" s="35">
        <f>SUM(H99:H103)</f>
        <v>705.17</v>
      </c>
      <c r="I104" s="11">
        <v>77.36</v>
      </c>
      <c r="J104" s="114">
        <f>D104-I104</f>
        <v>-0.0049999999999955</v>
      </c>
    </row>
    <row r="105" spans="1:17" customHeight="1" ht="18">
      <c r="A105" s="47"/>
      <c r="B105" s="3" t="s">
        <v>30</v>
      </c>
      <c r="C105" s="50"/>
      <c r="D105" s="35"/>
      <c r="E105" s="35">
        <f>E97+E104</f>
        <v>38.498092117759</v>
      </c>
      <c r="F105" s="35">
        <f>F97+F104</f>
        <v>39.501861348528</v>
      </c>
      <c r="G105" s="35">
        <f>G97+G104</f>
        <v>167.50260588794</v>
      </c>
      <c r="H105" s="35">
        <f>H97+H104</f>
        <v>1175.17</v>
      </c>
    </row>
    <row r="106" spans="1:17" customHeight="1" ht="18">
      <c r="A106" s="249" t="s">
        <v>65</v>
      </c>
      <c r="B106" s="249"/>
      <c r="C106" s="174"/>
      <c r="D106" s="18"/>
      <c r="E106" s="18"/>
      <c r="F106" s="18"/>
      <c r="G106" s="18"/>
      <c r="H106" s="18"/>
    </row>
    <row r="107" spans="1:17" customHeight="1" ht="15.75">
      <c r="A107" s="249" t="s">
        <v>11</v>
      </c>
      <c r="B107" s="249"/>
      <c r="C107" s="174"/>
      <c r="D107" s="36"/>
      <c r="E107" s="18"/>
      <c r="F107" s="18"/>
      <c r="G107" s="18"/>
      <c r="H107" s="18"/>
    </row>
    <row r="108" spans="1:17" customHeight="1" ht="15.75">
      <c r="A108" s="45">
        <v>241</v>
      </c>
      <c r="B108" s="27" t="s">
        <v>66</v>
      </c>
      <c r="C108" s="51">
        <v>130</v>
      </c>
      <c r="D108" s="108">
        <f>37.6-0.35+0.02</f>
        <v>37.27</v>
      </c>
      <c r="E108" s="108">
        <f>11.6+0.54</f>
        <v>12.14</v>
      </c>
      <c r="F108" s="108">
        <f>15.2-1.32</f>
        <v>13.88</v>
      </c>
      <c r="G108" s="108">
        <f>7.2+25.47-8.4-0.57</f>
        <v>23.7</v>
      </c>
      <c r="H108" s="108">
        <f>280.28-13.88</f>
        <v>266.4</v>
      </c>
    </row>
    <row r="109" spans="1:17" customHeight="1" ht="18">
      <c r="A109" s="45" t="s">
        <v>18</v>
      </c>
      <c r="B109" s="14" t="s">
        <v>67</v>
      </c>
      <c r="C109" s="30">
        <v>50</v>
      </c>
      <c r="D109" s="41">
        <f>9.95+3.19</f>
        <v>13.14</v>
      </c>
      <c r="E109" s="17">
        <v>1.62</v>
      </c>
      <c r="F109" s="17">
        <v>1.58</v>
      </c>
      <c r="G109" s="17">
        <v>19.17</v>
      </c>
      <c r="H109" s="17">
        <v>97.43</v>
      </c>
    </row>
    <row r="110" spans="1:17" customHeight="1" ht="18">
      <c r="A110" s="45">
        <v>300</v>
      </c>
      <c r="B110" s="25" t="s">
        <v>33</v>
      </c>
      <c r="C110" s="51">
        <v>200</v>
      </c>
      <c r="D110" s="109">
        <v>3.52</v>
      </c>
      <c r="E110" s="108">
        <v>0.1</v>
      </c>
      <c r="F110" s="108">
        <v>0.0</v>
      </c>
      <c r="G110" s="108">
        <v>20.2</v>
      </c>
      <c r="H110" s="108">
        <v>81.2</v>
      </c>
    </row>
    <row r="111" spans="1:17" customHeight="1" ht="18">
      <c r="A111" s="45" t="s">
        <v>18</v>
      </c>
      <c r="B111" s="14" t="s">
        <v>34</v>
      </c>
      <c r="C111" s="30">
        <v>120</v>
      </c>
      <c r="D111" s="108">
        <f>30.23/130*110-2.15</f>
        <v>23.429230769231</v>
      </c>
      <c r="E111" s="108">
        <v>1.5421153846154</v>
      </c>
      <c r="F111" s="108">
        <v>0.34269230769231</v>
      </c>
      <c r="G111" s="108">
        <v>3.9282692307692</v>
      </c>
      <c r="H111" s="108">
        <v>24.97</v>
      </c>
    </row>
    <row r="112" spans="1:17" customHeight="1" ht="18">
      <c r="A112" s="47"/>
      <c r="B112" s="9" t="s">
        <v>20</v>
      </c>
      <c r="C112" s="50">
        <f>SUM(C108:C111)</f>
        <v>500</v>
      </c>
      <c r="D112" s="35">
        <f>SUM(D108:D111)</f>
        <v>77.359230769231</v>
      </c>
      <c r="E112" s="35">
        <f>SUM(E108:E111)</f>
        <v>15.402115384615</v>
      </c>
      <c r="F112" s="35">
        <f>SUM(F108:F111)</f>
        <v>15.802692307692</v>
      </c>
      <c r="G112" s="35">
        <f>SUM(G108:G111)</f>
        <v>66.998269230769</v>
      </c>
      <c r="H112" s="35">
        <f>SUM(H108:H111)</f>
        <v>470</v>
      </c>
      <c r="I112" s="11">
        <v>77.36</v>
      </c>
      <c r="J112" s="114">
        <f>D112-I112</f>
        <v>-0.00076923076922242</v>
      </c>
    </row>
    <row r="113" spans="1:17" customHeight="1" ht="18">
      <c r="A113" s="236" t="s">
        <v>21</v>
      </c>
      <c r="B113" s="236"/>
      <c r="C113" s="34"/>
      <c r="D113" s="36"/>
      <c r="E113" s="18"/>
      <c r="F113" s="18"/>
      <c r="G113" s="18"/>
      <c r="H113" s="18"/>
    </row>
    <row r="114" spans="1:17" customHeight="1" ht="18">
      <c r="A114" s="45">
        <v>55</v>
      </c>
      <c r="B114" s="14" t="s">
        <v>50</v>
      </c>
      <c r="C114" s="57">
        <v>220</v>
      </c>
      <c r="D114" s="41">
        <v>16.25</v>
      </c>
      <c r="E114" s="14">
        <v>2</v>
      </c>
      <c r="F114" s="14">
        <v>9.4</v>
      </c>
      <c r="G114" s="14">
        <v>17.8</v>
      </c>
      <c r="H114" s="14">
        <v>163.8</v>
      </c>
    </row>
    <row r="115" spans="1:17" customHeight="1" ht="18" s="8" customFormat="1">
      <c r="A115" s="48" t="s">
        <v>68</v>
      </c>
      <c r="B115" s="1" t="s">
        <v>150</v>
      </c>
      <c r="C115" s="56">
        <v>90</v>
      </c>
      <c r="D115" s="21">
        <f>45.64</f>
        <v>45.64</v>
      </c>
      <c r="E115" s="63">
        <f>8.8+3.55</f>
        <v>12.35</v>
      </c>
      <c r="F115" s="31">
        <f>15.3-7.23</f>
        <v>8.07</v>
      </c>
      <c r="G115" s="31">
        <f>16.1+11.05-5</f>
        <v>22.15</v>
      </c>
      <c r="H115" s="31">
        <f>229.3-1.34</f>
        <v>227.96</v>
      </c>
    </row>
    <row r="116" spans="1:17" customHeight="1" ht="18" s="8" customFormat="1">
      <c r="A116" s="45">
        <v>227</v>
      </c>
      <c r="B116" s="32" t="s">
        <v>70</v>
      </c>
      <c r="C116" s="60">
        <v>150</v>
      </c>
      <c r="D116" s="41">
        <v>9.19</v>
      </c>
      <c r="E116" s="31">
        <v>6.6666666666667</v>
      </c>
      <c r="F116" s="31">
        <v>5.8666666666667</v>
      </c>
      <c r="G116" s="31">
        <f>53.333333333333-28</f>
        <v>25.333333333333</v>
      </c>
      <c r="H116" s="31">
        <v>180.8</v>
      </c>
    </row>
    <row r="117" spans="1:17" customHeight="1" ht="18">
      <c r="A117" s="45">
        <v>300</v>
      </c>
      <c r="B117" s="25" t="s">
        <v>33</v>
      </c>
      <c r="C117" s="51">
        <v>200</v>
      </c>
      <c r="D117" s="109">
        <v>3.52</v>
      </c>
      <c r="E117" s="108">
        <v>0.1</v>
      </c>
      <c r="F117" s="108">
        <v>0.0</v>
      </c>
      <c r="G117" s="108">
        <v>20.2</v>
      </c>
      <c r="H117" s="108">
        <v>81.2</v>
      </c>
    </row>
    <row r="118" spans="1:17" customHeight="1" ht="18">
      <c r="A118" s="48" t="s">
        <v>27</v>
      </c>
      <c r="B118" s="4" t="s">
        <v>28</v>
      </c>
      <c r="C118" s="51">
        <v>40</v>
      </c>
      <c r="D118" s="21">
        <v>2.76</v>
      </c>
      <c r="E118" s="2">
        <f>6.6/100*30</f>
        <v>1.98</v>
      </c>
      <c r="F118" s="52">
        <f>1.2/100*30</f>
        <v>0.36</v>
      </c>
      <c r="G118" s="2">
        <f>33.4/100*30</f>
        <v>10.02</v>
      </c>
      <c r="H118" s="2">
        <v>51.24</v>
      </c>
    </row>
    <row r="119" spans="1:17" customHeight="1" ht="18">
      <c r="A119" s="47"/>
      <c r="B119" s="9" t="s">
        <v>20</v>
      </c>
      <c r="C119" s="50">
        <f>SUM(C114:C118)</f>
        <v>700</v>
      </c>
      <c r="D119" s="75">
        <f>SUM(D114:D118)</f>
        <v>77.36</v>
      </c>
      <c r="E119" s="110">
        <f>SUM(E114:E118)</f>
        <v>23.096666666667</v>
      </c>
      <c r="F119" s="110">
        <f>SUM(F114:F118)</f>
        <v>23.696666666667</v>
      </c>
      <c r="G119" s="110">
        <f>SUM(G114:G118)</f>
        <v>95.503333333333</v>
      </c>
      <c r="H119" s="110">
        <f>SUM(H114:H118)</f>
        <v>705</v>
      </c>
      <c r="I119" s="11">
        <v>77.36</v>
      </c>
      <c r="J119" s="114">
        <f>D119-I119</f>
        <v>0</v>
      </c>
    </row>
    <row r="120" spans="1:17" customHeight="1" ht="18">
      <c r="A120" s="47"/>
      <c r="B120" s="3" t="s">
        <v>30</v>
      </c>
      <c r="C120" s="50"/>
      <c r="D120" s="35"/>
      <c r="E120" s="35">
        <f>E112+E119</f>
        <v>38.498782051282</v>
      </c>
      <c r="F120" s="35">
        <f>F112+F119</f>
        <v>39.499358974359</v>
      </c>
      <c r="G120" s="35">
        <f>G112+G119</f>
        <v>162.5016025641</v>
      </c>
      <c r="H120" s="35">
        <f>H112+H119</f>
        <v>1175</v>
      </c>
    </row>
    <row r="121" spans="1:17" customHeight="1" ht="18">
      <c r="A121" s="249" t="s">
        <v>71</v>
      </c>
      <c r="B121" s="249"/>
      <c r="C121" s="174"/>
      <c r="D121" s="18"/>
      <c r="E121" s="18"/>
      <c r="F121" s="18"/>
      <c r="G121" s="18"/>
      <c r="H121" s="18"/>
    </row>
    <row r="122" spans="1:17" customHeight="1" ht="18">
      <c r="A122" s="249" t="s">
        <v>42</v>
      </c>
      <c r="B122" s="249"/>
      <c r="C122" s="174"/>
      <c r="D122" s="36"/>
      <c r="E122" s="10"/>
      <c r="F122" s="10"/>
      <c r="G122" s="10"/>
      <c r="H122" s="18"/>
    </row>
    <row r="123" spans="1:17" customHeight="1" ht="18" s="8" customFormat="1">
      <c r="A123" s="45">
        <v>110</v>
      </c>
      <c r="B123" s="93" t="s">
        <v>72</v>
      </c>
      <c r="C123" s="56">
        <v>90</v>
      </c>
      <c r="D123" s="21">
        <f>49.46+0.02+2-2.47</f>
        <v>49.01</v>
      </c>
      <c r="E123" s="31">
        <f>7.6666666666667+0.07</f>
        <v>7.7366666666667</v>
      </c>
      <c r="F123" s="31">
        <f>11.222222222222-1.59-1.55</f>
        <v>8.082222222222</v>
      </c>
      <c r="G123" s="31">
        <f>9.6666666666667-2.69+11.61</f>
        <v>18.586666666667</v>
      </c>
      <c r="H123" s="31">
        <f>145.26+16.32</f>
        <v>161.58</v>
      </c>
    </row>
    <row r="124" spans="1:17" customHeight="1" ht="18">
      <c r="A124" s="45">
        <v>227</v>
      </c>
      <c r="B124" s="25" t="s">
        <v>56</v>
      </c>
      <c r="C124" s="56">
        <v>180</v>
      </c>
      <c r="D124" s="41">
        <f>14.61/150*180</f>
        <v>17.532</v>
      </c>
      <c r="E124" s="31">
        <v>5.19</v>
      </c>
      <c r="F124" s="31">
        <v>7.416</v>
      </c>
      <c r="G124" s="31">
        <v>13.728</v>
      </c>
      <c r="H124" s="31">
        <v>157.08</v>
      </c>
    </row>
    <row r="125" spans="1:17" customHeight="1" ht="18">
      <c r="A125" s="45">
        <v>300</v>
      </c>
      <c r="B125" s="25" t="s">
        <v>16</v>
      </c>
      <c r="C125" s="118" t="s">
        <v>17</v>
      </c>
      <c r="D125" s="21">
        <v>5.99</v>
      </c>
      <c r="E125" s="4">
        <v>0.1</v>
      </c>
      <c r="F125" s="4">
        <v>0.0</v>
      </c>
      <c r="G125" s="4">
        <v>20.2</v>
      </c>
      <c r="H125" s="4">
        <v>81.2</v>
      </c>
    </row>
    <row r="126" spans="1:17" customHeight="1" ht="18">
      <c r="A126" s="48" t="s">
        <v>29</v>
      </c>
      <c r="B126" s="4" t="s">
        <v>14</v>
      </c>
      <c r="C126" s="51">
        <v>45</v>
      </c>
      <c r="D126" s="21">
        <v>4.83</v>
      </c>
      <c r="E126" s="4">
        <f>7.9/100*30</f>
        <v>2.37</v>
      </c>
      <c r="F126" s="4">
        <f>1/100*30</f>
        <v>0.3</v>
      </c>
      <c r="G126" s="4">
        <f>48.3/100*30</f>
        <v>14.49</v>
      </c>
      <c r="H126" s="4">
        <v>70.14</v>
      </c>
      <c r="J126" s="114"/>
      <c r="Q126" s="114"/>
    </row>
    <row r="127" spans="1:17" customHeight="1" ht="18">
      <c r="A127" s="47"/>
      <c r="B127" s="9" t="s">
        <v>20</v>
      </c>
      <c r="C127" s="50">
        <f>SUM(C123:C126)+205</f>
        <v>520</v>
      </c>
      <c r="D127" s="6">
        <f>SUM(D123:D126)</f>
        <v>77.362</v>
      </c>
      <c r="E127" s="5">
        <f>SUM(E123:E126)</f>
        <v>15.396666666667</v>
      </c>
      <c r="F127" s="5">
        <f>SUM(F123:F126)</f>
        <v>15.798222222222</v>
      </c>
      <c r="G127" s="5">
        <f>SUM(G123:G126)</f>
        <v>67.004666666667</v>
      </c>
      <c r="H127" s="5">
        <f>SUM(H123:H126)</f>
        <v>470</v>
      </c>
      <c r="I127" s="11">
        <v>77.36</v>
      </c>
      <c r="J127" s="114">
        <f>D127-I127</f>
        <v>0.0019999999999953</v>
      </c>
    </row>
    <row r="128" spans="1:17" customHeight="1" ht="18">
      <c r="A128" s="235" t="s">
        <v>21</v>
      </c>
      <c r="B128" s="236"/>
      <c r="C128" s="54"/>
      <c r="D128" s="36"/>
      <c r="E128" s="18"/>
      <c r="F128" s="18"/>
      <c r="G128" s="18"/>
      <c r="H128" s="18"/>
    </row>
    <row r="129" spans="1:17" customHeight="1" ht="33.75">
      <c r="A129" s="111">
        <v>56</v>
      </c>
      <c r="B129" s="87" t="s">
        <v>73</v>
      </c>
      <c r="C129" s="112">
        <v>210</v>
      </c>
      <c r="D129" s="38">
        <f>17.88-5.63</f>
        <v>12.25</v>
      </c>
      <c r="E129" s="25">
        <f>2.4+1.88</f>
        <v>4.28</v>
      </c>
      <c r="F129" s="25">
        <v>4</v>
      </c>
      <c r="G129" s="25">
        <f>18.5+8.3</f>
        <v>26.8</v>
      </c>
      <c r="H129" s="25">
        <f>160.32-3</f>
        <v>157.32</v>
      </c>
    </row>
    <row r="130" spans="1:17" customHeight="1" ht="18" s="8" customFormat="1">
      <c r="A130" s="45">
        <v>96</v>
      </c>
      <c r="B130" s="25" t="s">
        <v>74</v>
      </c>
      <c r="C130" s="57">
        <v>60</v>
      </c>
      <c r="D130" s="21">
        <v>7.2</v>
      </c>
      <c r="E130" s="16">
        <v>4.02</v>
      </c>
      <c r="F130" s="16">
        <v>1.34</v>
      </c>
      <c r="G130" s="16">
        <v>15.1</v>
      </c>
      <c r="H130" s="16">
        <v>88.54</v>
      </c>
    </row>
    <row r="131" spans="1:17" customHeight="1" ht="18" s="8" customFormat="1">
      <c r="A131" s="45">
        <v>158</v>
      </c>
      <c r="B131" s="13" t="s">
        <v>37</v>
      </c>
      <c r="C131" s="57">
        <v>220</v>
      </c>
      <c r="D131" s="41">
        <f>41.11+3.19</f>
        <v>44.3</v>
      </c>
      <c r="E131" s="14">
        <v>10.35</v>
      </c>
      <c r="F131" s="19">
        <f>13.2/180*220+1.61</f>
        <v>17.743333333333</v>
      </c>
      <c r="G131" s="19">
        <f>15.06+1.08-2.25</f>
        <v>13.89</v>
      </c>
      <c r="H131" s="15">
        <f>256.65+0.47</f>
        <v>257.12</v>
      </c>
    </row>
    <row r="132" spans="1:17" customHeight="1" ht="18">
      <c r="A132" s="45">
        <v>300</v>
      </c>
      <c r="B132" s="76" t="s">
        <v>26</v>
      </c>
      <c r="C132" s="51">
        <v>200</v>
      </c>
      <c r="D132" s="21">
        <v>7.73</v>
      </c>
      <c r="E132" s="4">
        <v>0.1</v>
      </c>
      <c r="F132" s="4">
        <v>0.0</v>
      </c>
      <c r="G132" s="4">
        <v>20.2</v>
      </c>
      <c r="H132" s="4">
        <v>81.2</v>
      </c>
    </row>
    <row r="133" spans="1:17" customHeight="1" ht="18">
      <c r="A133" s="48" t="s">
        <v>27</v>
      </c>
      <c r="B133" s="4" t="s">
        <v>28</v>
      </c>
      <c r="C133" s="51">
        <v>30</v>
      </c>
      <c r="D133" s="21">
        <v>2.76</v>
      </c>
      <c r="E133" s="2">
        <f>6.6/100*30</f>
        <v>1.98</v>
      </c>
      <c r="F133" s="52">
        <f>1.2/100*30</f>
        <v>0.36</v>
      </c>
      <c r="G133" s="2">
        <f>33.4/100*30</f>
        <v>10.02</v>
      </c>
      <c r="H133" s="2">
        <v>51.24</v>
      </c>
    </row>
    <row r="134" spans="1:17" customHeight="1" ht="18">
      <c r="A134" s="48" t="s">
        <v>29</v>
      </c>
      <c r="B134" s="4" t="s">
        <v>14</v>
      </c>
      <c r="C134" s="51">
        <v>30</v>
      </c>
      <c r="D134" s="21">
        <v>3.12</v>
      </c>
      <c r="E134" s="4">
        <f>7.9/100*30</f>
        <v>2.37</v>
      </c>
      <c r="F134" s="4">
        <f>1/100*30</f>
        <v>0.3</v>
      </c>
      <c r="G134" s="4">
        <f>48.3/100*30</f>
        <v>14.49</v>
      </c>
      <c r="H134" s="4">
        <v>70.14</v>
      </c>
    </row>
    <row r="135" spans="1:17" customHeight="1" ht="18">
      <c r="A135" s="47"/>
      <c r="B135" s="9" t="s">
        <v>20</v>
      </c>
      <c r="C135" s="50">
        <f>SUM(C129:C134)</f>
        <v>750</v>
      </c>
      <c r="D135" s="75">
        <f>SUM(D129:D134)</f>
        <v>77.36</v>
      </c>
      <c r="E135" s="75">
        <f>SUM(E129:E134)</f>
        <v>23.1</v>
      </c>
      <c r="F135" s="75">
        <f>SUM(F129:F134)</f>
        <v>23.743333333333</v>
      </c>
      <c r="G135" s="75">
        <f>SUM(G129:G134)</f>
        <v>100.5</v>
      </c>
      <c r="H135" s="75">
        <f>SUM(H129:H134)</f>
        <v>705.56</v>
      </c>
      <c r="I135" s="11">
        <v>77.36</v>
      </c>
      <c r="J135" s="114">
        <f>D135-I135</f>
        <v>1.4210854715202E-14</v>
      </c>
    </row>
    <row r="136" spans="1:17" customHeight="1" ht="18">
      <c r="A136" s="47"/>
      <c r="B136" s="3" t="s">
        <v>30</v>
      </c>
      <c r="C136" s="50"/>
      <c r="D136" s="35"/>
      <c r="E136" s="6">
        <f>E127+E135</f>
        <v>38.496666666667</v>
      </c>
      <c r="F136" s="6">
        <f>F127+F135</f>
        <v>39.541555555555</v>
      </c>
      <c r="G136" s="6">
        <f>G127+G135</f>
        <v>167.50466666667</v>
      </c>
      <c r="H136" s="6">
        <f>H127+H135</f>
        <v>1175.56</v>
      </c>
    </row>
    <row r="137" spans="1:17" customHeight="1" ht="18">
      <c r="A137" s="249" t="s">
        <v>75</v>
      </c>
      <c r="B137" s="249"/>
      <c r="C137" s="174"/>
      <c r="D137" s="18"/>
      <c r="E137" s="18"/>
      <c r="F137" s="18"/>
      <c r="G137" s="18"/>
      <c r="H137" s="18"/>
    </row>
    <row r="138" spans="1:17" customHeight="1" ht="18">
      <c r="A138" s="249" t="s">
        <v>42</v>
      </c>
      <c r="B138" s="249"/>
      <c r="C138" s="174"/>
      <c r="D138" s="36"/>
      <c r="E138" s="18"/>
      <c r="F138" s="18"/>
      <c r="G138" s="18"/>
      <c r="H138" s="18"/>
    </row>
    <row r="139" spans="1:17" customHeight="1" ht="18">
      <c r="A139" s="45">
        <v>258</v>
      </c>
      <c r="B139" s="4" t="s">
        <v>76</v>
      </c>
      <c r="C139" s="51">
        <v>150</v>
      </c>
      <c r="D139" s="41">
        <f>29.8+7.65</f>
        <v>37.45</v>
      </c>
      <c r="E139" s="17">
        <f>10.75+1.53</f>
        <v>12.28</v>
      </c>
      <c r="F139" s="17">
        <f>9.4+4.51</f>
        <v>13.91</v>
      </c>
      <c r="G139" s="17">
        <f>27.5-3.44</f>
        <v>24.06</v>
      </c>
      <c r="H139" s="73">
        <f>268.43+0.24</f>
        <v>268.67</v>
      </c>
    </row>
    <row r="140" spans="1:17" customHeight="1" ht="18">
      <c r="A140" s="45" t="s">
        <v>18</v>
      </c>
      <c r="B140" s="25" t="s">
        <v>77</v>
      </c>
      <c r="C140" s="51">
        <v>100</v>
      </c>
      <c r="D140" s="21">
        <v>23.25</v>
      </c>
      <c r="E140" s="17">
        <v>1.4019230769231</v>
      </c>
      <c r="F140" s="17">
        <v>0.31153846153846</v>
      </c>
      <c r="G140" s="17">
        <v>3.5711538461538</v>
      </c>
      <c r="H140" s="17">
        <v>22.7</v>
      </c>
    </row>
    <row r="141" spans="1:17" customHeight="1" ht="18" s="8" customFormat="1">
      <c r="A141" s="92" t="s">
        <v>18</v>
      </c>
      <c r="B141" s="14" t="s">
        <v>35</v>
      </c>
      <c r="C141" s="30">
        <v>50</v>
      </c>
      <c r="D141" s="41">
        <f>9.95+3.19</f>
        <v>13.14</v>
      </c>
      <c r="E141" s="17">
        <v>1.62</v>
      </c>
      <c r="F141" s="17">
        <v>1.58</v>
      </c>
      <c r="G141" s="17">
        <v>19.17</v>
      </c>
      <c r="H141" s="17">
        <v>97.43</v>
      </c>
    </row>
    <row r="142" spans="1:17" customHeight="1" ht="18">
      <c r="A142" s="45">
        <v>300</v>
      </c>
      <c r="B142" s="25" t="s">
        <v>33</v>
      </c>
      <c r="C142" s="51">
        <v>200</v>
      </c>
      <c r="D142" s="21">
        <v>3.52</v>
      </c>
      <c r="E142" s="4">
        <v>0.1</v>
      </c>
      <c r="F142" s="4">
        <v>0.0</v>
      </c>
      <c r="G142" s="4">
        <v>20.2</v>
      </c>
      <c r="H142" s="4">
        <v>81.2</v>
      </c>
    </row>
    <row r="143" spans="1:17" customHeight="1" ht="18">
      <c r="A143" s="47"/>
      <c r="B143" s="9" t="s">
        <v>20</v>
      </c>
      <c r="C143" s="50">
        <f>SUM(C139:C142)</f>
        <v>500</v>
      </c>
      <c r="D143" s="35">
        <f>SUM(D139:D142)</f>
        <v>77.36</v>
      </c>
      <c r="E143" s="35">
        <f>SUM(E139:E142)</f>
        <v>15.401923076923</v>
      </c>
      <c r="F143" s="35">
        <f>SUM(F139:F142)</f>
        <v>15.801538461538</v>
      </c>
      <c r="G143" s="35">
        <f>SUM(G139:G142)</f>
        <v>67.001153846154</v>
      </c>
      <c r="H143" s="35">
        <f>SUM(H139:H142)</f>
        <v>470</v>
      </c>
      <c r="I143" s="11">
        <v>77.36</v>
      </c>
      <c r="J143" s="114">
        <f>D143-I143</f>
        <v>0</v>
      </c>
    </row>
    <row r="144" spans="1:17" customHeight="1" ht="18">
      <c r="A144" s="240" t="s">
        <v>21</v>
      </c>
      <c r="B144" s="240"/>
      <c r="C144" s="44"/>
      <c r="D144" s="36"/>
      <c r="E144" s="18"/>
      <c r="F144" s="18"/>
      <c r="G144" s="18"/>
      <c r="H144" s="18"/>
    </row>
    <row r="145" spans="1:17" customHeight="1" ht="18">
      <c r="A145" s="92">
        <v>55</v>
      </c>
      <c r="B145" s="20" t="s">
        <v>45</v>
      </c>
      <c r="C145" s="62">
        <v>200</v>
      </c>
      <c r="D145" s="38">
        <v>12.75</v>
      </c>
      <c r="E145" s="19">
        <v>8.25</v>
      </c>
      <c r="F145" s="19">
        <v>9.7</v>
      </c>
      <c r="G145" s="19">
        <v>31.8</v>
      </c>
      <c r="H145" s="19">
        <v>247.5</v>
      </c>
    </row>
    <row r="146" spans="1:17" customHeight="1" ht="18">
      <c r="A146" s="92">
        <v>108</v>
      </c>
      <c r="B146" s="93" t="s">
        <v>78</v>
      </c>
      <c r="C146" s="60">
        <v>90</v>
      </c>
      <c r="D146" s="21">
        <f>44.15-5.55+0.48+2.45-10.27+7.38+1.32</f>
        <v>39.96</v>
      </c>
      <c r="E146" s="31">
        <f>6.9-0.04</f>
        <v>6.86</v>
      </c>
      <c r="F146" s="31">
        <f>3.5+1.98</f>
        <v>5.48</v>
      </c>
      <c r="G146" s="31">
        <f>20.7-7.43</f>
        <v>13.27</v>
      </c>
      <c r="H146" s="31">
        <f>129.9-2.7</f>
        <v>127.2</v>
      </c>
    </row>
    <row r="147" spans="1:17" customHeight="1" ht="18">
      <c r="A147" s="101" t="s">
        <v>24</v>
      </c>
      <c r="B147" s="4" t="s">
        <v>25</v>
      </c>
      <c r="C147" s="29">
        <v>180</v>
      </c>
      <c r="D147" s="41">
        <f>15.18+3.19</f>
        <v>18.37</v>
      </c>
      <c r="E147" s="19">
        <f>12.72-6.81</f>
        <v>5.91</v>
      </c>
      <c r="F147" s="19">
        <v>8.16</v>
      </c>
      <c r="G147" s="19">
        <f>30.36-5.15</f>
        <v>25.21</v>
      </c>
      <c r="H147" s="19">
        <v>197.92</v>
      </c>
    </row>
    <row r="148" spans="1:17" customHeight="1" ht="18">
      <c r="A148" s="92">
        <v>300</v>
      </c>
      <c r="B148" s="25" t="s">
        <v>33</v>
      </c>
      <c r="C148" s="51">
        <v>200</v>
      </c>
      <c r="D148" s="21">
        <v>3.52</v>
      </c>
      <c r="E148" s="4">
        <v>0.1</v>
      </c>
      <c r="F148" s="4">
        <v>0.0</v>
      </c>
      <c r="G148" s="4">
        <v>20.2</v>
      </c>
      <c r="H148" s="4">
        <v>81.2</v>
      </c>
    </row>
    <row r="149" spans="1:17" customHeight="1" ht="18">
      <c r="A149" s="101" t="s">
        <v>27</v>
      </c>
      <c r="B149" s="4" t="s">
        <v>28</v>
      </c>
      <c r="C149" s="51">
        <v>30</v>
      </c>
      <c r="D149" s="21">
        <v>2.76</v>
      </c>
      <c r="E149" s="2">
        <f>6.6/100*30</f>
        <v>1.98</v>
      </c>
      <c r="F149" s="52">
        <f>1.2/100*30</f>
        <v>0.36</v>
      </c>
      <c r="G149" s="2">
        <f>33.4/100*30</f>
        <v>10.02</v>
      </c>
      <c r="H149" s="2">
        <v>51.24</v>
      </c>
    </row>
    <row r="150" spans="1:17" customHeight="1" ht="18">
      <c r="A150" s="45"/>
      <c r="B150" s="9" t="s">
        <v>20</v>
      </c>
      <c r="C150" s="50">
        <f>SUM(C145:C149)</f>
        <v>700</v>
      </c>
      <c r="D150" s="75">
        <f>SUM(D145:D149)</f>
        <v>77.36</v>
      </c>
      <c r="E150" s="75">
        <f>SUM(E145:E149)</f>
        <v>23.1</v>
      </c>
      <c r="F150" s="75">
        <f>SUM(F145:F149)</f>
        <v>23.7</v>
      </c>
      <c r="G150" s="75">
        <f>SUM(G145:G149)</f>
        <v>100.5</v>
      </c>
      <c r="H150" s="75">
        <f>SUM(H145:H149)</f>
        <v>705.06</v>
      </c>
    </row>
    <row r="151" spans="1:17" customHeight="1" ht="18">
      <c r="A151" s="45"/>
      <c r="B151" s="3" t="s">
        <v>30</v>
      </c>
      <c r="C151" s="50"/>
      <c r="D151" s="35"/>
      <c r="E151" s="5">
        <f>E143+E150</f>
        <v>38.501923076923</v>
      </c>
      <c r="F151" s="5">
        <f>F143+F150</f>
        <v>39.501538461538</v>
      </c>
      <c r="G151" s="5">
        <f>G143+G150</f>
        <v>167.50115384615</v>
      </c>
      <c r="H151" s="5">
        <f>H143+H150</f>
        <v>1175.06</v>
      </c>
    </row>
    <row r="152" spans="1:17" customHeight="1" ht="18">
      <c r="A152" s="249" t="s">
        <v>79</v>
      </c>
      <c r="B152" s="249"/>
      <c r="C152" s="174"/>
      <c r="D152" s="18"/>
      <c r="E152" s="18"/>
      <c r="F152" s="18"/>
      <c r="G152" s="18"/>
      <c r="H152" s="18"/>
    </row>
    <row r="153" spans="1:17" customHeight="1" ht="18">
      <c r="A153" s="249" t="s">
        <v>42</v>
      </c>
      <c r="B153" s="249"/>
      <c r="C153" s="174"/>
      <c r="D153" s="36"/>
      <c r="E153" s="18"/>
      <c r="F153" s="18"/>
      <c r="G153" s="18"/>
      <c r="H153" s="18"/>
    </row>
    <row r="154" spans="1:17" customHeight="1" ht="18">
      <c r="A154" s="45">
        <v>227</v>
      </c>
      <c r="B154" s="1" t="s">
        <v>52</v>
      </c>
      <c r="C154" s="57">
        <v>150</v>
      </c>
      <c r="D154" s="21">
        <v>11.49</v>
      </c>
      <c r="E154" s="31">
        <v>7.1253333333333</v>
      </c>
      <c r="F154" s="31">
        <v>7.69</v>
      </c>
      <c r="G154" s="31">
        <f>38.208-16.8</f>
        <v>21.408</v>
      </c>
      <c r="H154" s="31">
        <v>183.34</v>
      </c>
    </row>
    <row r="155" spans="1:17" customHeight="1" ht="18">
      <c r="A155" s="45">
        <v>136</v>
      </c>
      <c r="B155" s="25" t="s">
        <v>80</v>
      </c>
      <c r="C155" s="57">
        <v>100</v>
      </c>
      <c r="D155" s="41">
        <f>46.02+1.19</f>
        <v>47.21</v>
      </c>
      <c r="E155" s="21">
        <v>4</v>
      </c>
      <c r="F155" s="21">
        <f>6.3-1.49</f>
        <v>4.81</v>
      </c>
      <c r="G155" s="21">
        <v>8.9</v>
      </c>
      <c r="H155" s="21">
        <v>94.89</v>
      </c>
    </row>
    <row r="156" spans="1:17" customHeight="1" ht="18">
      <c r="A156" s="45">
        <v>300</v>
      </c>
      <c r="B156" s="25" t="s">
        <v>33</v>
      </c>
      <c r="C156" s="51">
        <v>200</v>
      </c>
      <c r="D156" s="21">
        <v>3.52</v>
      </c>
      <c r="E156" s="4">
        <v>0.1</v>
      </c>
      <c r="F156" s="4">
        <v>0.0</v>
      </c>
      <c r="G156" s="4">
        <v>20.2</v>
      </c>
      <c r="H156" s="4">
        <v>81.2</v>
      </c>
    </row>
    <row r="157" spans="1:17" customHeight="1" ht="18">
      <c r="A157" s="48" t="s">
        <v>38</v>
      </c>
      <c r="B157" s="2" t="s">
        <v>35</v>
      </c>
      <c r="C157" s="29">
        <v>20</v>
      </c>
      <c r="D157" s="21">
        <v>12.02</v>
      </c>
      <c r="E157" s="16">
        <v>1.8</v>
      </c>
      <c r="F157" s="16">
        <v>3</v>
      </c>
      <c r="G157" s="16">
        <v>2</v>
      </c>
      <c r="H157" s="74">
        <v>42.2</v>
      </c>
    </row>
    <row r="158" spans="1:17" customHeight="1" ht="18">
      <c r="A158" s="48" t="s">
        <v>29</v>
      </c>
      <c r="B158" s="4" t="s">
        <v>14</v>
      </c>
      <c r="C158" s="51">
        <v>30</v>
      </c>
      <c r="D158" s="21">
        <v>3.12</v>
      </c>
      <c r="E158" s="4">
        <f>7.9/100*30</f>
        <v>2.37</v>
      </c>
      <c r="F158" s="4">
        <f>1/100*30</f>
        <v>0.3</v>
      </c>
      <c r="G158" s="4">
        <f>48.3/100*30</f>
        <v>14.49</v>
      </c>
      <c r="H158" s="4">
        <v>70.14</v>
      </c>
    </row>
    <row r="159" spans="1:17" customHeight="1" ht="18">
      <c r="A159" s="47"/>
      <c r="B159" s="9" t="s">
        <v>20</v>
      </c>
      <c r="C159" s="50">
        <f>SUM(C154:C158)</f>
        <v>500</v>
      </c>
      <c r="D159" s="6">
        <f>SUM(D154:D158)</f>
        <v>77.36</v>
      </c>
      <c r="E159" s="5">
        <f>SUM(E154:E158)</f>
        <v>15.395333333333</v>
      </c>
      <c r="F159" s="5">
        <f>SUM(F154:F158)</f>
        <v>15.8</v>
      </c>
      <c r="G159" s="5">
        <f>SUM(G154:G158)</f>
        <v>66.998</v>
      </c>
      <c r="H159" s="5">
        <f>SUM(H154:H158)</f>
        <v>471.77</v>
      </c>
      <c r="I159" s="11">
        <v>77.36</v>
      </c>
      <c r="J159" s="114">
        <f>D159-I159</f>
        <v>1.4210854715202E-14</v>
      </c>
    </row>
    <row r="160" spans="1:17" customHeight="1" ht="18">
      <c r="A160" s="235" t="s">
        <v>21</v>
      </c>
      <c r="B160" s="236"/>
      <c r="C160" s="54"/>
      <c r="D160" s="36"/>
      <c r="E160" s="18"/>
      <c r="F160" s="18"/>
      <c r="G160" s="18"/>
      <c r="H160" s="18"/>
    </row>
    <row r="161" spans="1:17" customHeight="1" ht="18">
      <c r="A161" s="92">
        <v>65</v>
      </c>
      <c r="B161" s="20" t="s">
        <v>57</v>
      </c>
      <c r="C161" s="56">
        <v>230</v>
      </c>
      <c r="D161" s="41">
        <v>10.81</v>
      </c>
      <c r="E161" s="13">
        <v>6.716</v>
      </c>
      <c r="F161" s="13">
        <v>6.808</v>
      </c>
      <c r="G161" s="13">
        <v>25.576</v>
      </c>
      <c r="H161" s="13">
        <v>190.44</v>
      </c>
    </row>
    <row r="162" spans="1:17" customHeight="1" ht="18">
      <c r="A162" s="92">
        <v>110</v>
      </c>
      <c r="B162" s="1" t="s">
        <v>81</v>
      </c>
      <c r="C162" s="29">
        <v>90</v>
      </c>
      <c r="D162" s="38">
        <f>40.96+8.12+2</f>
        <v>51.08</v>
      </c>
      <c r="E162" s="31">
        <f>6.9+0.74</f>
        <v>7.64</v>
      </c>
      <c r="F162" s="31">
        <f>6.1+4.57</f>
        <v>10.67</v>
      </c>
      <c r="G162" s="31">
        <f>28.7-9.33</f>
        <v>19.37</v>
      </c>
      <c r="H162" s="31">
        <f>193.3+8.03</f>
        <v>201.33</v>
      </c>
    </row>
    <row r="163" spans="1:17" customHeight="1" ht="18">
      <c r="A163" s="92">
        <v>227</v>
      </c>
      <c r="B163" s="93" t="s">
        <v>70</v>
      </c>
      <c r="C163" s="60">
        <v>150</v>
      </c>
      <c r="D163" s="41">
        <f>6+3.19</f>
        <v>9.19</v>
      </c>
      <c r="E163" s="31">
        <v>6.6666666666667</v>
      </c>
      <c r="F163" s="31">
        <v>5.8666666666667</v>
      </c>
      <c r="G163" s="31">
        <f>53.333333333333-28</f>
        <v>25.333333333333</v>
      </c>
      <c r="H163" s="31">
        <v>180.8</v>
      </c>
    </row>
    <row r="164" spans="1:17" customHeight="1" ht="15.75">
      <c r="A164" s="92">
        <v>300</v>
      </c>
      <c r="B164" s="25" t="s">
        <v>33</v>
      </c>
      <c r="C164" s="51">
        <v>200</v>
      </c>
      <c r="D164" s="21">
        <v>3.52</v>
      </c>
      <c r="E164" s="4">
        <v>0.1</v>
      </c>
      <c r="F164" s="4">
        <v>0.0</v>
      </c>
      <c r="G164" s="4">
        <v>20.2</v>
      </c>
      <c r="H164" s="4">
        <v>81.2</v>
      </c>
    </row>
    <row r="165" spans="1:17" customHeight="1" ht="15.75">
      <c r="A165" s="101" t="s">
        <v>27</v>
      </c>
      <c r="B165" s="4" t="s">
        <v>28</v>
      </c>
      <c r="C165" s="51">
        <v>30</v>
      </c>
      <c r="D165" s="21">
        <v>2.76</v>
      </c>
      <c r="E165" s="2">
        <f>6.6/100*30</f>
        <v>1.98</v>
      </c>
      <c r="F165" s="52">
        <f>1.2/100*30</f>
        <v>0.36</v>
      </c>
      <c r="G165" s="2">
        <f>33.4/100*30</f>
        <v>10.02</v>
      </c>
      <c r="H165" s="2">
        <v>51.24</v>
      </c>
    </row>
    <row r="166" spans="1:17" customHeight="1" ht="15.75">
      <c r="A166" s="47"/>
      <c r="B166" s="9" t="s">
        <v>20</v>
      </c>
      <c r="C166" s="50">
        <f>SUM(C161:C165)</f>
        <v>700</v>
      </c>
      <c r="D166" s="75">
        <f>SUM(D161:D165)</f>
        <v>77.36</v>
      </c>
      <c r="E166" s="75">
        <f>SUM(E161:E165)</f>
        <v>23.102666666667</v>
      </c>
      <c r="F166" s="75">
        <f>SUM(F161:F165)</f>
        <v>23.704666666667</v>
      </c>
      <c r="G166" s="75">
        <f>SUM(G161:G165)</f>
        <v>100.49933333333</v>
      </c>
      <c r="H166" s="75">
        <f>SUM(H161:H165)</f>
        <v>705.01</v>
      </c>
      <c r="I166" s="11">
        <v>77.36</v>
      </c>
      <c r="J166" s="114">
        <f>D166-I166</f>
        <v>0</v>
      </c>
    </row>
    <row r="167" spans="1:17" customHeight="1" ht="15.75">
      <c r="A167" s="47"/>
      <c r="B167" s="12" t="s">
        <v>30</v>
      </c>
      <c r="C167" s="50"/>
      <c r="D167" s="35"/>
      <c r="E167" s="6">
        <f>E159+E166</f>
        <v>38.498</v>
      </c>
      <c r="F167" s="6">
        <f>F159+F166</f>
        <v>39.504666666667</v>
      </c>
      <c r="G167" s="6">
        <f>G159+G166</f>
        <v>167.49733333333</v>
      </c>
      <c r="H167" s="6">
        <f>H159+H166</f>
        <v>1176.78</v>
      </c>
    </row>
    <row r="168" spans="1:17" customHeight="1" ht="15.75">
      <c r="A168" s="66"/>
      <c r="B168" s="245" t="s">
        <v>82</v>
      </c>
      <c r="C168" s="245"/>
      <c r="D168" s="6"/>
      <c r="E168" s="6">
        <f>E24+E42+E58+E74+E89+E105+E120+E136+E151+E167</f>
        <v>384.99591263058</v>
      </c>
      <c r="F168" s="6">
        <f>F24+F42+F58+F74+F89+F105+F120+F136+F151+F167</f>
        <v>395.06198195632</v>
      </c>
      <c r="G168" s="6">
        <f>G24+G42+G58+G74+G89+G105+G120+G136+G151+G167</f>
        <v>1670.0265636277</v>
      </c>
      <c r="H168" s="6">
        <f>H24+H42+H58+H74+H89+H105+H120+H136+H151+H167</f>
        <v>11759.0375</v>
      </c>
    </row>
    <row r="169" spans="1:17" customHeight="1" ht="15.75">
      <c r="A169" s="66"/>
      <c r="B169" s="246" t="s">
        <v>83</v>
      </c>
      <c r="C169" s="246"/>
      <c r="D169" s="67"/>
      <c r="E169" s="6">
        <f>E168/10</f>
        <v>38.499591263058</v>
      </c>
      <c r="F169" s="6">
        <f>F168/10</f>
        <v>39.506198195632</v>
      </c>
      <c r="G169" s="6">
        <f>G168/10</f>
        <v>167.00265636277</v>
      </c>
      <c r="H169" s="6">
        <f>H168/10</f>
        <v>1175.90375</v>
      </c>
    </row>
    <row r="170" spans="1:17" customHeight="1" ht="15.75">
      <c r="E170" s="18"/>
      <c r="F170" s="18"/>
      <c r="G170" s="18"/>
      <c r="H170" s="18"/>
    </row>
    <row r="171" spans="1:17" customHeight="1" ht="15">
      <c r="E171" s="40"/>
      <c r="F171" s="40"/>
      <c r="G171" s="40"/>
      <c r="H171" s="40"/>
    </row>
    <row r="172" spans="1:17" customHeight="1" ht="15">
      <c r="E172" s="114"/>
      <c r="F172" s="114"/>
      <c r="G172" s="11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4:B144"/>
    <mergeCell ref="A152:B152"/>
    <mergeCell ref="A153:B153"/>
    <mergeCell ref="A160:B160"/>
    <mergeCell ref="B168:C168"/>
    <mergeCell ref="B169:C169"/>
    <mergeCell ref="A113:B113"/>
    <mergeCell ref="A121:B121"/>
    <mergeCell ref="A122:B122"/>
    <mergeCell ref="A128:B128"/>
    <mergeCell ref="A137:B137"/>
    <mergeCell ref="A138:B138"/>
    <mergeCell ref="A83:B83"/>
    <mergeCell ref="A90:B90"/>
    <mergeCell ref="A91:B91"/>
    <mergeCell ref="A98:B98"/>
    <mergeCell ref="A106:B106"/>
    <mergeCell ref="A107:B107"/>
    <mergeCell ref="A50:B50"/>
    <mergeCell ref="A59:B59"/>
    <mergeCell ref="A60:B60"/>
    <mergeCell ref="A66:B66"/>
    <mergeCell ref="A75:B75"/>
    <mergeCell ref="A76:B76"/>
    <mergeCell ref="A16:B16"/>
    <mergeCell ref="A26:B26"/>
    <mergeCell ref="A27:B27"/>
    <mergeCell ref="A34:B34"/>
    <mergeCell ref="A43:B43"/>
    <mergeCell ref="A44:B44"/>
    <mergeCell ref="H3:H7"/>
    <mergeCell ref="E5:E7"/>
    <mergeCell ref="F5:F7"/>
    <mergeCell ref="G5:G7"/>
    <mergeCell ref="A8:B8"/>
    <mergeCell ref="A9:B9"/>
    <mergeCell ref="B1:G2"/>
    <mergeCell ref="A3:A7"/>
    <mergeCell ref="B3:B7"/>
    <mergeCell ref="C3:C7"/>
    <mergeCell ref="D3:D7"/>
    <mergeCell ref="E3:G4"/>
  </mergeCells>
  <printOptions gridLines="false" gridLinesSet="true"/>
  <pageMargins left="0.7" right="0.7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9" manualBreakCount="9">
    <brk id="25" man="1"/>
    <brk id="42" man="1"/>
    <brk id="58" man="1"/>
    <brk id="74" man="1"/>
    <brk id="89" man="1"/>
    <brk id="105" man="1"/>
    <brk id="120" man="1"/>
    <brk id="136" man="1"/>
    <brk id="15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42"/>
  <sheetViews>
    <sheetView tabSelected="0" workbookViewId="0" showGridLines="true" showRowColHeaders="1">
      <selection activeCell="N101" sqref="N101"/>
    </sheetView>
  </sheetViews>
  <sheetFormatPr customHeight="true" defaultRowHeight="15" defaultColWidth="9.140625" outlineLevelRow="0" outlineLevelCol="0"/>
  <cols>
    <col min="1" max="1" width="10" customWidth="true" style="43"/>
    <col min="2" max="2" width="57" customWidth="true" style="11"/>
    <col min="3" max="3" width="9.5703125" customWidth="true" style="55"/>
    <col min="4" max="4" width="9.5703125" customWidth="true" style="40"/>
    <col min="5" max="5" width="10.28515625" customWidth="true" style="11"/>
    <col min="6" max="6" width="10.7109375" customWidth="true" style="11"/>
    <col min="7" max="7" width="10.7109375" customWidth="true" style="11"/>
    <col min="8" max="8" width="11.85546875" customWidth="true" style="11"/>
    <col min="9" max="9" width="0" hidden="true" customWidth="true" style="11"/>
    <col min="10" max="10" width="9.5703125" hidden="true" customWidth="true" style="11"/>
    <col min="11" max="11" width="0" hidden="true" customWidth="true" style="11"/>
    <col min="12" max="12" width="0" hidden="true" customWidth="true" style="11"/>
    <col min="13" max="13" width="0" hidden="true" customWidth="true" style="11"/>
  </cols>
  <sheetData>
    <row r="1" spans="1:18" customHeight="1" ht="15">
      <c r="A1" s="127"/>
      <c r="B1" s="141" t="s">
        <v>83</v>
      </c>
      <c r="C1" s="141"/>
      <c r="D1" s="184"/>
      <c r="E1" s="115" t="e">
        <v>#REF!</v>
      </c>
      <c r="F1" s="115" t="e">
        <v>#REF!</v>
      </c>
      <c r="G1" s="115" t="e">
        <v>#REF!</v>
      </c>
      <c r="H1" s="115" t="e">
        <v>#REF!</v>
      </c>
    </row>
    <row r="2" spans="1:18" customHeight="1" ht="63">
      <c r="A2" s="135" t="s">
        <v>1</v>
      </c>
      <c r="B2" s="142" t="s">
        <v>2</v>
      </c>
      <c r="C2" s="169" t="s">
        <v>3</v>
      </c>
      <c r="D2" s="189" t="s">
        <v>4</v>
      </c>
      <c r="E2" s="24" t="s">
        <v>5</v>
      </c>
      <c r="F2" s="24"/>
      <c r="G2" s="24"/>
      <c r="H2" s="28" t="s">
        <v>6</v>
      </c>
    </row>
    <row r="3" spans="1:18" customHeight="1" ht="15.75">
      <c r="A3" s="136">
        <v>158</v>
      </c>
      <c r="B3" s="149" t="s">
        <v>46</v>
      </c>
      <c r="C3" s="170">
        <v>90</v>
      </c>
      <c r="D3" s="190">
        <f>35.52+0.6</f>
        <v>36.12</v>
      </c>
      <c r="E3" s="200">
        <f>12.65-4.6-0.4</f>
        <v>7.65</v>
      </c>
      <c r="F3" s="207">
        <f>13.2/180*220-5-0.25</f>
        <v>10.883333333333</v>
      </c>
      <c r="G3" s="208">
        <f>15.06+0.46</f>
        <v>15.52</v>
      </c>
      <c r="H3" s="210">
        <f>192.64-4.75</f>
        <v>187.89</v>
      </c>
    </row>
    <row r="4" spans="1:18" customHeight="1" ht="15.75">
      <c r="A4" s="134">
        <v>136</v>
      </c>
      <c r="B4" s="123" t="s">
        <v>80</v>
      </c>
      <c r="C4" s="167">
        <v>100</v>
      </c>
      <c r="D4" s="188">
        <f>46.02+1.19</f>
        <v>47.21</v>
      </c>
      <c r="E4" s="204">
        <v>4</v>
      </c>
      <c r="F4" s="189">
        <f>6.3-1.49</f>
        <v>4.81</v>
      </c>
      <c r="G4" s="209">
        <v>8.9</v>
      </c>
      <c r="H4" s="124">
        <v>94.89</v>
      </c>
    </row>
    <row r="5" spans="1:18" customHeight="1" ht="15">
      <c r="A5" s="134">
        <v>107</v>
      </c>
      <c r="B5" s="123" t="s">
        <v>51</v>
      </c>
      <c r="C5" s="167">
        <v>90</v>
      </c>
      <c r="D5" s="124">
        <v>32.13</v>
      </c>
      <c r="E5" s="203">
        <f>8.82+0.67</f>
        <v>9.49</v>
      </c>
      <c r="F5" s="203">
        <f>5.04+0.31</f>
        <v>5.35</v>
      </c>
      <c r="G5" s="203">
        <f>18.78-4.81</f>
        <v>13.97</v>
      </c>
      <c r="H5" s="212">
        <f>155.76-13.74</f>
        <v>142.02</v>
      </c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customHeight="1" ht="15">
      <c r="A6" s="134">
        <v>55</v>
      </c>
      <c r="B6" s="147" t="s">
        <v>50</v>
      </c>
      <c r="C6" s="167">
        <v>220</v>
      </c>
      <c r="D6" s="188">
        <v>16.25</v>
      </c>
      <c r="E6" s="147">
        <v>2</v>
      </c>
      <c r="F6" s="147">
        <v>9.4</v>
      </c>
      <c r="G6" s="147">
        <v>17.8</v>
      </c>
      <c r="H6" s="147">
        <v>163.8</v>
      </c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customHeight="1" ht="33">
      <c r="A7" s="140">
        <v>55</v>
      </c>
      <c r="B7" s="158" t="s">
        <v>50</v>
      </c>
      <c r="C7" s="181">
        <v>220</v>
      </c>
      <c r="D7" s="194">
        <v>16.25</v>
      </c>
      <c r="E7" s="158">
        <v>2</v>
      </c>
      <c r="F7" s="158">
        <v>9.4</v>
      </c>
      <c r="G7" s="158">
        <f>17.8+5</f>
        <v>22.8</v>
      </c>
      <c r="H7" s="158">
        <v>163.8</v>
      </c>
    </row>
    <row r="8" spans="1:18" customHeight="1" ht="18.75">
      <c r="A8" s="101" t="s">
        <v>29</v>
      </c>
      <c r="B8" s="155" t="s">
        <v>44</v>
      </c>
      <c r="C8" s="164">
        <v>50</v>
      </c>
      <c r="D8" s="193">
        <v>27.7</v>
      </c>
      <c r="E8" s="155">
        <f>7.9/100*30-0.08</f>
        <v>2.29</v>
      </c>
      <c r="F8" s="155">
        <f>1/100*30-0.08</f>
        <v>0.22</v>
      </c>
      <c r="G8" s="155">
        <f>48.3/100*30</f>
        <v>14.49</v>
      </c>
      <c r="H8" s="155">
        <f>69.1-1.82</f>
        <v>67.28</v>
      </c>
    </row>
    <row r="9" spans="1:18" customHeight="1" ht="18">
      <c r="A9" s="101" t="s">
        <v>68</v>
      </c>
      <c r="B9" s="161" t="s">
        <v>69</v>
      </c>
      <c r="C9" s="183">
        <v>90</v>
      </c>
      <c r="D9" s="193">
        <f>45.64</f>
        <v>45.64</v>
      </c>
      <c r="E9" s="63">
        <f>8.8+3.55</f>
        <v>12.35</v>
      </c>
      <c r="F9" s="31">
        <f>15.3-7.23</f>
        <v>8.07</v>
      </c>
      <c r="G9" s="31">
        <f>16.1+11.05-5</f>
        <v>22.15</v>
      </c>
      <c r="H9" s="31">
        <f>229.3-1.34</f>
        <v>227.96</v>
      </c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customHeight="1" ht="18">
      <c r="A10" s="45">
        <v>110</v>
      </c>
      <c r="B10" s="93" t="s">
        <v>72</v>
      </c>
      <c r="C10" s="56">
        <v>90</v>
      </c>
      <c r="D10" s="21">
        <v>49.01</v>
      </c>
      <c r="E10" s="31">
        <f>7.6666666666667+0.07</f>
        <v>7.7366666666667</v>
      </c>
      <c r="F10" s="31">
        <f>11.222222222222-1.59-1.55</f>
        <v>8.082222222222</v>
      </c>
      <c r="G10" s="31">
        <f>9.6666666666667-2.69+11.61</f>
        <v>18.586666666667</v>
      </c>
      <c r="H10" s="31">
        <f>145.26+16.32</f>
        <v>161.58</v>
      </c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customHeight="1" ht="18">
      <c r="A11" s="90">
        <v>259</v>
      </c>
      <c r="B11" s="25" t="s">
        <v>58</v>
      </c>
      <c r="C11" s="56">
        <v>220</v>
      </c>
      <c r="D11" s="21">
        <f>52.57+2.83</f>
        <v>55.4</v>
      </c>
      <c r="E11" s="63">
        <f>14.5-0.88</f>
        <v>13.62</v>
      </c>
      <c r="F11" s="63">
        <f>18.8-2.96</f>
        <v>15.84</v>
      </c>
      <c r="G11" s="63">
        <f>42.87+2.61</f>
        <v>45.48</v>
      </c>
      <c r="H11" s="63">
        <f>372.04+4.72</f>
        <v>376.76</v>
      </c>
    </row>
    <row r="12" spans="1:18" customHeight="1" ht="18">
      <c r="A12" s="45">
        <v>96</v>
      </c>
      <c r="B12" s="25" t="s">
        <v>74</v>
      </c>
      <c r="C12" s="57">
        <v>60</v>
      </c>
      <c r="D12" s="21">
        <v>7.2</v>
      </c>
      <c r="E12" s="16">
        <v>4.02</v>
      </c>
      <c r="F12" s="16">
        <v>1.34</v>
      </c>
      <c r="G12" s="16">
        <v>15.1</v>
      </c>
      <c r="H12" s="16">
        <v>88.54</v>
      </c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customHeight="1" ht="30">
      <c r="A13" s="137" t="s">
        <v>18</v>
      </c>
      <c r="B13" s="150" t="s">
        <v>15</v>
      </c>
      <c r="C13" s="171">
        <v>95</v>
      </c>
      <c r="D13" s="187">
        <v>40.3</v>
      </c>
      <c r="E13" s="199">
        <v>1.61</v>
      </c>
      <c r="F13" s="199">
        <v>0.115</v>
      </c>
      <c r="G13" s="199">
        <v>16.2</v>
      </c>
      <c r="H13" s="199">
        <v>73.6</v>
      </c>
    </row>
    <row r="14" spans="1:18" customHeight="1" ht="15.75">
      <c r="A14" s="128">
        <v>146</v>
      </c>
      <c r="B14" s="152" t="s">
        <v>47</v>
      </c>
      <c r="C14" s="182">
        <v>150</v>
      </c>
      <c r="D14" s="192">
        <v>14.88</v>
      </c>
      <c r="E14" s="205">
        <v>4.75</v>
      </c>
      <c r="F14" s="205">
        <v>2.46</v>
      </c>
      <c r="G14" s="205">
        <v>21.47</v>
      </c>
      <c r="H14" s="213">
        <v>127.03</v>
      </c>
    </row>
    <row r="15" spans="1:18" customHeight="1" ht="18">
      <c r="A15" s="45">
        <v>227</v>
      </c>
      <c r="B15" s="1" t="s">
        <v>52</v>
      </c>
      <c r="C15" s="57">
        <v>150</v>
      </c>
      <c r="D15" s="41">
        <v>11.49</v>
      </c>
      <c r="E15" s="31">
        <v>7.1253333333333</v>
      </c>
      <c r="F15" s="31">
        <v>7.69</v>
      </c>
      <c r="G15" s="31">
        <v>21.408</v>
      </c>
      <c r="H15" s="31">
        <v>183.34</v>
      </c>
    </row>
    <row r="16" spans="1:18" customHeight="1" ht="18">
      <c r="A16" s="45">
        <v>227</v>
      </c>
      <c r="B16" s="1" t="s">
        <v>52</v>
      </c>
      <c r="C16" s="57">
        <v>150</v>
      </c>
      <c r="D16" s="41">
        <v>11.49</v>
      </c>
      <c r="E16" s="31">
        <v>7.1253333333333</v>
      </c>
      <c r="F16" s="31">
        <v>7.69</v>
      </c>
      <c r="G16" s="31">
        <v>21.408</v>
      </c>
      <c r="H16" s="31">
        <v>183.34</v>
      </c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customHeight="1" ht="18">
      <c r="A17" s="45">
        <v>227</v>
      </c>
      <c r="B17" s="1" t="s">
        <v>52</v>
      </c>
      <c r="C17" s="57">
        <v>150</v>
      </c>
      <c r="D17" s="21">
        <v>11.49</v>
      </c>
      <c r="E17" s="31">
        <v>7.1253333333333</v>
      </c>
      <c r="F17" s="31">
        <v>7.69</v>
      </c>
      <c r="G17" s="31">
        <f>38.208-16.8</f>
        <v>21.408</v>
      </c>
      <c r="H17" s="31">
        <v>183.34</v>
      </c>
    </row>
    <row r="18" spans="1:18" customHeight="1" ht="18">
      <c r="A18" s="45">
        <v>208</v>
      </c>
      <c r="B18" s="4" t="s">
        <v>12</v>
      </c>
      <c r="C18" s="118" t="s">
        <v>13</v>
      </c>
      <c r="D18" s="41">
        <v>21.14</v>
      </c>
      <c r="E18" s="17">
        <f>9.2325+0.27</f>
        <v>9.5025</v>
      </c>
      <c r="F18" s="17">
        <f>11.568703703704+3.41</f>
        <v>14.978703703704</v>
      </c>
      <c r="G18" s="17">
        <f>22.895185185185-11.43</f>
        <v>11.465185185185</v>
      </c>
      <c r="H18" s="17">
        <f>232.6275-17.08</f>
        <v>215.5475</v>
      </c>
    </row>
    <row r="19" spans="1:18" customHeight="1" ht="18">
      <c r="A19" s="45">
        <v>208</v>
      </c>
      <c r="B19" s="4" t="s">
        <v>43</v>
      </c>
      <c r="C19" s="51">
        <v>200</v>
      </c>
      <c r="D19" s="41">
        <v>29.11</v>
      </c>
      <c r="E19" s="17">
        <v>12.31</v>
      </c>
      <c r="F19" s="17">
        <f>12.744938271605+1.18+1.5</f>
        <v>15.424938271605</v>
      </c>
      <c r="G19" s="17">
        <f>40.246913580247-27.11+17.39</f>
        <v>30.526913580247</v>
      </c>
      <c r="H19" s="73">
        <v>310.17</v>
      </c>
    </row>
    <row r="20" spans="1:18" customHeight="1" ht="18">
      <c r="A20" s="92">
        <v>208</v>
      </c>
      <c r="B20" s="155" t="s">
        <v>60</v>
      </c>
      <c r="C20" s="176" t="s">
        <v>149</v>
      </c>
      <c r="D20" s="192">
        <v>37.09</v>
      </c>
      <c r="E20" s="199">
        <f>8.2716049382716+1.86+2-1</f>
        <v>11.131604938272</v>
      </c>
      <c r="F20" s="199">
        <f>13.744938271605-1.68</f>
        <v>12.064938271605</v>
      </c>
      <c r="G20" s="199">
        <f>40.246913580247-2.64-16+2.48</f>
        <v>24.086913580247</v>
      </c>
      <c r="H20" s="211">
        <f>258.66-11.05</f>
        <v>247.61</v>
      </c>
      <c r="N20" s="114">
        <f>D19-D20</f>
        <v>-7.98</v>
      </c>
    </row>
    <row r="21" spans="1:18" customHeight="1" ht="18">
      <c r="A21" s="45">
        <v>300</v>
      </c>
      <c r="B21" s="76" t="s">
        <v>53</v>
      </c>
      <c r="C21" s="51">
        <v>200</v>
      </c>
      <c r="D21" s="21">
        <v>7.73</v>
      </c>
      <c r="E21" s="4">
        <v>0.1</v>
      </c>
      <c r="F21" s="4">
        <v>0.0</v>
      </c>
      <c r="G21" s="4">
        <v>20.2</v>
      </c>
      <c r="H21" s="4">
        <v>81.2</v>
      </c>
    </row>
    <row r="22" spans="1:18" customHeight="1" ht="18">
      <c r="A22" s="45">
        <v>300</v>
      </c>
      <c r="B22" s="76" t="s">
        <v>26</v>
      </c>
      <c r="C22" s="51">
        <v>200</v>
      </c>
      <c r="D22" s="21">
        <v>7.73</v>
      </c>
      <c r="E22" s="4">
        <v>0.1</v>
      </c>
      <c r="F22" s="4">
        <v>0.0</v>
      </c>
      <c r="G22" s="4">
        <v>20.2</v>
      </c>
      <c r="H22" s="4">
        <v>81.2</v>
      </c>
    </row>
    <row r="23" spans="1:18" customHeight="1" ht="18">
      <c r="A23" s="45">
        <v>300</v>
      </c>
      <c r="B23" s="76" t="s">
        <v>26</v>
      </c>
      <c r="C23" s="51">
        <v>200</v>
      </c>
      <c r="D23" s="21">
        <v>7.73</v>
      </c>
      <c r="E23" s="4">
        <v>0.1</v>
      </c>
      <c r="F23" s="4">
        <v>0.0</v>
      </c>
      <c r="G23" s="4">
        <v>20.2</v>
      </c>
      <c r="H23" s="4">
        <v>81.2</v>
      </c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customHeight="1" ht="18" s="8" customFormat="1">
      <c r="A24" s="45">
        <v>300</v>
      </c>
      <c r="B24" s="105" t="s">
        <v>26</v>
      </c>
      <c r="C24" s="51">
        <v>200</v>
      </c>
      <c r="D24" s="21">
        <v>7.73</v>
      </c>
      <c r="E24" s="4">
        <v>0.1</v>
      </c>
      <c r="F24" s="4">
        <v>0.0</v>
      </c>
      <c r="G24" s="4">
        <v>20.2</v>
      </c>
      <c r="H24" s="4">
        <v>81.2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customHeight="1" ht="18" s="8" customFormat="1">
      <c r="A25" s="45">
        <v>300</v>
      </c>
      <c r="B25" s="25" t="s">
        <v>40</v>
      </c>
      <c r="C25" s="51">
        <v>200</v>
      </c>
      <c r="D25" s="21">
        <v>7.09</v>
      </c>
      <c r="E25" s="22">
        <v>0.2</v>
      </c>
      <c r="F25" s="22">
        <v>0.1</v>
      </c>
      <c r="G25" s="22">
        <v>17.2</v>
      </c>
      <c r="H25" s="13">
        <v>70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customHeight="1" ht="18" s="8" customFormat="1">
      <c r="A26" s="45">
        <v>300</v>
      </c>
      <c r="B26" s="25" t="s">
        <v>40</v>
      </c>
      <c r="C26" s="51">
        <v>200</v>
      </c>
      <c r="D26" s="21">
        <v>7.09</v>
      </c>
      <c r="E26" s="22">
        <v>0.2</v>
      </c>
      <c r="F26" s="22">
        <v>0.1</v>
      </c>
      <c r="G26" s="22">
        <v>17.2</v>
      </c>
      <c r="H26" s="13">
        <v>70</v>
      </c>
    </row>
    <row r="27" spans="1:18" customHeight="1" ht="18">
      <c r="A27" s="45" t="s">
        <v>18</v>
      </c>
      <c r="B27" s="27" t="s">
        <v>35</v>
      </c>
      <c r="C27" s="30">
        <v>60</v>
      </c>
      <c r="D27" s="41">
        <v>13.63</v>
      </c>
      <c r="E27" s="17">
        <v>1.92</v>
      </c>
      <c r="F27" s="17">
        <v>6.5</v>
      </c>
      <c r="G27" s="17">
        <f>19.17+3</f>
        <v>22.17</v>
      </c>
      <c r="H27" s="17">
        <v>154.86</v>
      </c>
    </row>
    <row r="28" spans="1:18" customHeight="1" ht="18">
      <c r="A28" s="45" t="s">
        <v>18</v>
      </c>
      <c r="B28" s="27" t="s">
        <v>35</v>
      </c>
      <c r="C28" s="30">
        <v>60</v>
      </c>
      <c r="D28" s="41">
        <f>13.63+0.35</f>
        <v>13.98</v>
      </c>
      <c r="E28" s="17">
        <v>1.92</v>
      </c>
      <c r="F28" s="17">
        <v>6.5</v>
      </c>
      <c r="G28" s="17">
        <v>12.17</v>
      </c>
      <c r="H28" s="17">
        <v>114.86</v>
      </c>
    </row>
    <row r="29" spans="1:18" customHeight="1" ht="18">
      <c r="A29" s="131" t="s">
        <v>18</v>
      </c>
      <c r="B29" s="146" t="s">
        <v>35</v>
      </c>
      <c r="C29" s="165">
        <v>30</v>
      </c>
      <c r="D29" s="187">
        <v>13.63</v>
      </c>
      <c r="E29" s="199">
        <v>0.96</v>
      </c>
      <c r="F29" s="199">
        <v>3.25</v>
      </c>
      <c r="G29" s="199">
        <v>6.085</v>
      </c>
      <c r="H29" s="199">
        <v>57.43</v>
      </c>
    </row>
    <row r="30" spans="1:18" customHeight="1" ht="18">
      <c r="A30" s="128" t="s">
        <v>18</v>
      </c>
      <c r="B30" s="157" t="s">
        <v>35</v>
      </c>
      <c r="C30" s="178">
        <v>50</v>
      </c>
      <c r="D30" s="192">
        <f>9.95+3.19</f>
        <v>13.14</v>
      </c>
      <c r="E30" s="199">
        <v>1.62</v>
      </c>
      <c r="F30" s="199">
        <v>1.58</v>
      </c>
      <c r="G30" s="199">
        <v>19.17</v>
      </c>
      <c r="H30" s="199">
        <v>97.43</v>
      </c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customHeight="1" ht="18">
      <c r="A31" s="48" t="s">
        <v>38</v>
      </c>
      <c r="B31" s="2" t="s">
        <v>35</v>
      </c>
      <c r="C31" s="97">
        <v>20</v>
      </c>
      <c r="D31" s="21">
        <v>12.02</v>
      </c>
      <c r="E31" s="16">
        <v>1.8</v>
      </c>
      <c r="F31" s="16">
        <v>3</v>
      </c>
      <c r="G31" s="16">
        <v>2</v>
      </c>
      <c r="H31" s="74">
        <v>42.2</v>
      </c>
    </row>
    <row r="32" spans="1:18" customHeight="1" ht="18">
      <c r="A32" s="45" t="s">
        <v>18</v>
      </c>
      <c r="B32" s="14" t="s">
        <v>67</v>
      </c>
      <c r="C32" s="177">
        <v>50</v>
      </c>
      <c r="D32" s="41">
        <f>9.95+3.19</f>
        <v>13.14</v>
      </c>
      <c r="E32" s="17">
        <v>1.62</v>
      </c>
      <c r="F32" s="17">
        <v>1.58</v>
      </c>
      <c r="G32" s="17">
        <v>19.17</v>
      </c>
      <c r="H32" s="17">
        <v>97.43</v>
      </c>
    </row>
    <row r="33" spans="1:18" customHeight="1" ht="18" s="8" customFormat="1">
      <c r="A33" s="45">
        <v>108</v>
      </c>
      <c r="B33" s="93" t="s">
        <v>78</v>
      </c>
      <c r="C33" s="175">
        <v>90</v>
      </c>
      <c r="D33" s="21">
        <f>44.15-5.55+0.48+2.45-10.27+7.38+1.32</f>
        <v>39.96</v>
      </c>
      <c r="E33" s="31">
        <f>6.9-0.04</f>
        <v>6.86</v>
      </c>
      <c r="F33" s="31">
        <f>3.5+1.98</f>
        <v>5.48</v>
      </c>
      <c r="G33" s="31">
        <f>20.7-7.43</f>
        <v>13.27</v>
      </c>
      <c r="H33" s="31">
        <f>129.9-2.7</f>
        <v>127.2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customHeight="1" ht="18">
      <c r="A34" s="45">
        <v>227</v>
      </c>
      <c r="B34" s="93" t="s">
        <v>70</v>
      </c>
      <c r="C34" s="56">
        <v>150</v>
      </c>
      <c r="D34" s="41">
        <v>9.19</v>
      </c>
      <c r="E34" s="31">
        <v>6.6666666666667</v>
      </c>
      <c r="F34" s="31">
        <v>5.8666666666667</v>
      </c>
      <c r="G34" s="31">
        <f>53.333333333333-28</f>
        <v>25.333333333333</v>
      </c>
      <c r="H34" s="31">
        <v>180.8</v>
      </c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customHeight="1" ht="18">
      <c r="A35" s="45">
        <v>227</v>
      </c>
      <c r="B35" s="93" t="s">
        <v>70</v>
      </c>
      <c r="C35" s="56">
        <v>150</v>
      </c>
      <c r="D35" s="41">
        <f>6+3.19</f>
        <v>9.19</v>
      </c>
      <c r="E35" s="31">
        <v>6.6666666666667</v>
      </c>
      <c r="F35" s="31">
        <v>5.8666666666667</v>
      </c>
      <c r="G35" s="31">
        <f>53.333333333333-28</f>
        <v>25.333333333333</v>
      </c>
      <c r="H35" s="31">
        <v>180.8</v>
      </c>
    </row>
    <row r="36" spans="1:18" customHeight="1" ht="15.75">
      <c r="A36" s="92" t="s">
        <v>18</v>
      </c>
      <c r="B36" s="14" t="s">
        <v>19</v>
      </c>
      <c r="C36" s="30">
        <v>30</v>
      </c>
      <c r="D36" s="41">
        <v>6.81</v>
      </c>
      <c r="E36" s="17">
        <v>1.8225</v>
      </c>
      <c r="F36" s="17">
        <v>0.405</v>
      </c>
      <c r="G36" s="17">
        <v>4.6425</v>
      </c>
      <c r="H36" s="17">
        <v>29.51</v>
      </c>
    </row>
    <row r="37" spans="1:18" customHeight="1" ht="18" s="8" customFormat="1">
      <c r="A37" s="45">
        <v>311</v>
      </c>
      <c r="B37" s="13" t="s">
        <v>64</v>
      </c>
      <c r="C37" s="30">
        <v>200</v>
      </c>
      <c r="D37" s="21">
        <f>5.73+0.31+1.19</f>
        <v>7.23</v>
      </c>
      <c r="E37" s="22">
        <v>0.2</v>
      </c>
      <c r="F37" s="22">
        <v>0.1</v>
      </c>
      <c r="G37" s="22">
        <v>17.2</v>
      </c>
      <c r="H37" s="13">
        <v>70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customHeight="1" ht="18" s="8" customFormat="1">
      <c r="A38" s="92" t="s">
        <v>38</v>
      </c>
      <c r="B38" s="25" t="s">
        <v>39</v>
      </c>
      <c r="C38" s="51">
        <v>60</v>
      </c>
      <c r="D38" s="41">
        <v>6.3</v>
      </c>
      <c r="E38" s="22">
        <v>2.4</v>
      </c>
      <c r="F38" s="22">
        <v>0.9</v>
      </c>
      <c r="G38" s="22">
        <v>17.1</v>
      </c>
      <c r="H38" s="22">
        <v>83.4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customHeight="1" ht="18">
      <c r="A39" s="92" t="s">
        <v>18</v>
      </c>
      <c r="B39" s="14" t="s">
        <v>39</v>
      </c>
      <c r="C39" s="51">
        <v>60</v>
      </c>
      <c r="D39" s="96">
        <v>7</v>
      </c>
      <c r="E39" s="22">
        <v>2.4</v>
      </c>
      <c r="F39" s="22">
        <v>0.9</v>
      </c>
      <c r="G39" s="22">
        <v>17.1</v>
      </c>
      <c r="H39" s="22">
        <v>83.4</v>
      </c>
    </row>
    <row r="40" spans="1:18" customHeight="1" ht="18">
      <c r="A40" s="45">
        <v>258</v>
      </c>
      <c r="B40" s="4" t="s">
        <v>76</v>
      </c>
      <c r="C40" s="51">
        <v>150</v>
      </c>
      <c r="D40" s="41">
        <f>29.8+7.65</f>
        <v>37.45</v>
      </c>
      <c r="E40" s="17">
        <f>10.75+1.53</f>
        <v>12.28</v>
      </c>
      <c r="F40" s="17">
        <f>9.4+4.51</f>
        <v>13.91</v>
      </c>
      <c r="G40" s="17">
        <f>27.5-3.44</f>
        <v>24.06</v>
      </c>
      <c r="H40" s="73">
        <f>268.43+0.24</f>
        <v>268.67</v>
      </c>
    </row>
    <row r="41" spans="1:18" customHeight="1" ht="18">
      <c r="A41" s="92">
        <v>234</v>
      </c>
      <c r="B41" s="2" t="s">
        <v>32</v>
      </c>
      <c r="C41" s="56">
        <v>115</v>
      </c>
      <c r="D41" s="21">
        <v>41.3</v>
      </c>
      <c r="E41" s="31">
        <f>6.9+3.28</f>
        <v>10.18</v>
      </c>
      <c r="F41" s="31">
        <f>10.1-1.28</f>
        <v>8.82</v>
      </c>
      <c r="G41" s="31">
        <v>8</v>
      </c>
      <c r="H41" s="31">
        <v>152.1</v>
      </c>
    </row>
    <row r="42" spans="1:18" customHeight="1" ht="18">
      <c r="A42" s="45">
        <v>158</v>
      </c>
      <c r="B42" s="25" t="s">
        <v>37</v>
      </c>
      <c r="C42" s="57">
        <v>220</v>
      </c>
      <c r="D42" s="41">
        <f>19.54+3.5+10.48+0.96+6.63+3.19</f>
        <v>44.3</v>
      </c>
      <c r="E42" s="14">
        <v>10.35</v>
      </c>
      <c r="F42" s="19">
        <f>13.2/180*220+1.61</f>
        <v>17.743333333333</v>
      </c>
      <c r="G42" s="19">
        <f>15.06+1.08-2.25</f>
        <v>13.89</v>
      </c>
      <c r="H42" s="15">
        <f>256.65+0.47</f>
        <v>257.12</v>
      </c>
    </row>
    <row r="43" spans="1:18" customHeight="1" ht="18">
      <c r="A43" s="45">
        <v>158</v>
      </c>
      <c r="B43" s="13" t="s">
        <v>37</v>
      </c>
      <c r="C43" s="57">
        <v>220</v>
      </c>
      <c r="D43" s="41">
        <f>41.11+3.19</f>
        <v>44.3</v>
      </c>
      <c r="E43" s="14">
        <v>10.35</v>
      </c>
      <c r="F43" s="19">
        <f>13.2/180*220+1.61</f>
        <v>17.743333333333</v>
      </c>
      <c r="G43" s="19">
        <f>15.06+1.08-2.25</f>
        <v>13.89</v>
      </c>
      <c r="H43" s="15">
        <f>256.65+0.47</f>
        <v>257.12</v>
      </c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customHeight="1" ht="18">
      <c r="A44" s="131">
        <v>65</v>
      </c>
      <c r="B44" s="159" t="s">
        <v>57</v>
      </c>
      <c r="C44" s="165">
        <v>250</v>
      </c>
      <c r="D44" s="191">
        <v>12.11</v>
      </c>
      <c r="E44" s="201">
        <v>7.3</v>
      </c>
      <c r="F44" s="201">
        <f>4.4+3</f>
        <v>7.4</v>
      </c>
      <c r="G44" s="201">
        <v>27.8</v>
      </c>
      <c r="H44" s="201">
        <v>207</v>
      </c>
    </row>
    <row r="45" spans="1:18" customHeight="1" ht="18">
      <c r="A45" s="128">
        <v>65</v>
      </c>
      <c r="B45" s="152" t="s">
        <v>57</v>
      </c>
      <c r="C45" s="173">
        <v>230</v>
      </c>
      <c r="D45" s="192">
        <v>10.81</v>
      </c>
      <c r="E45" s="201">
        <v>6.716</v>
      </c>
      <c r="F45" s="201">
        <v>6.808</v>
      </c>
      <c r="G45" s="201">
        <v>25.576</v>
      </c>
      <c r="H45" s="201">
        <v>190.44</v>
      </c>
    </row>
    <row r="46" spans="1:18" customHeight="1" ht="18">
      <c r="A46" s="101" t="s">
        <v>24</v>
      </c>
      <c r="B46" s="1" t="s">
        <v>25</v>
      </c>
      <c r="C46" s="179">
        <v>150</v>
      </c>
      <c r="D46" s="38">
        <v>12.3</v>
      </c>
      <c r="E46" s="19">
        <v>4.925</v>
      </c>
      <c r="F46" s="19">
        <v>6.8</v>
      </c>
      <c r="G46" s="19">
        <f>21.008333333333-3</f>
        <v>18.008333333333</v>
      </c>
      <c r="H46" s="19">
        <v>152.93</v>
      </c>
    </row>
    <row r="47" spans="1:18" customHeight="1" ht="18">
      <c r="A47" s="101" t="s">
        <v>24</v>
      </c>
      <c r="B47" s="1" t="s">
        <v>25</v>
      </c>
      <c r="C47" s="57">
        <v>180</v>
      </c>
      <c r="D47" s="41">
        <f>15.18+3.19</f>
        <v>18.37</v>
      </c>
      <c r="E47" s="19">
        <f>12.72-6.81</f>
        <v>5.91</v>
      </c>
      <c r="F47" s="19">
        <v>8.16</v>
      </c>
      <c r="G47" s="19">
        <f>30.36-5.15</f>
        <v>25.21</v>
      </c>
      <c r="H47" s="19">
        <v>197.92</v>
      </c>
    </row>
    <row r="48" spans="1:18" customHeight="1" ht="18">
      <c r="A48" s="48" t="s">
        <v>24</v>
      </c>
      <c r="B48" s="4" t="s">
        <v>25</v>
      </c>
      <c r="C48" s="29">
        <v>180</v>
      </c>
      <c r="D48" s="41">
        <f>15.18+3.19</f>
        <v>18.37</v>
      </c>
      <c r="E48" s="19">
        <f>12.72-6.81</f>
        <v>5.91</v>
      </c>
      <c r="F48" s="19">
        <v>8.16</v>
      </c>
      <c r="G48" s="19">
        <f>30.36-5.15</f>
        <v>25.21</v>
      </c>
      <c r="H48" s="19">
        <v>197.92</v>
      </c>
    </row>
    <row r="49" spans="1:18" customHeight="1" ht="18">
      <c r="A49" s="45">
        <v>227</v>
      </c>
      <c r="B49" s="93" t="s">
        <v>56</v>
      </c>
      <c r="C49" s="99">
        <v>150</v>
      </c>
      <c r="D49" s="41">
        <v>14.61</v>
      </c>
      <c r="E49" s="17">
        <f>4.375-0.05</f>
        <v>4.325</v>
      </c>
      <c r="F49" s="17">
        <f>6.75-0.57</f>
        <v>6.18</v>
      </c>
      <c r="G49" s="17">
        <f>23.75-12.31</f>
        <v>11.44</v>
      </c>
      <c r="H49" s="17">
        <f>138.6-7.7</f>
        <v>130.9</v>
      </c>
    </row>
    <row r="50" spans="1:18" customHeight="1" ht="18">
      <c r="A50" s="45">
        <v>227</v>
      </c>
      <c r="B50" s="25" t="s">
        <v>56</v>
      </c>
      <c r="C50" s="56">
        <v>180</v>
      </c>
      <c r="D50" s="41">
        <f>14.61/150*180</f>
        <v>17.532</v>
      </c>
      <c r="E50" s="31">
        <v>5.19</v>
      </c>
      <c r="F50" s="31">
        <v>7.416</v>
      </c>
      <c r="G50" s="31">
        <v>13.728</v>
      </c>
      <c r="H50" s="31">
        <v>157.08</v>
      </c>
      <c r="N50" s="11">
        <f>D49/150*180</f>
        <v>17.532</v>
      </c>
    </row>
    <row r="51" spans="1:18" customHeight="1" ht="18">
      <c r="A51" s="45">
        <v>65</v>
      </c>
      <c r="B51" s="1" t="s">
        <v>22</v>
      </c>
      <c r="C51" s="30">
        <v>200</v>
      </c>
      <c r="D51" s="21">
        <v>9.75</v>
      </c>
      <c r="E51" s="26">
        <v>6.4</v>
      </c>
      <c r="F51" s="26">
        <v>8</v>
      </c>
      <c r="G51" s="26">
        <v>30.7</v>
      </c>
      <c r="H51" s="26">
        <v>220.4</v>
      </c>
    </row>
    <row r="52" spans="1:18" customHeight="1" ht="18">
      <c r="A52" s="92">
        <v>55</v>
      </c>
      <c r="B52" s="160" t="s">
        <v>45</v>
      </c>
      <c r="C52" s="97">
        <v>200</v>
      </c>
      <c r="D52" s="192">
        <v>12.75</v>
      </c>
      <c r="E52" s="205">
        <v>6.25</v>
      </c>
      <c r="F52" s="205">
        <v>9.7</v>
      </c>
      <c r="G52" s="205">
        <f>31.8-13</f>
        <v>18.8</v>
      </c>
      <c r="H52" s="205">
        <v>187.5</v>
      </c>
    </row>
    <row r="53" spans="1:18" customHeight="1" ht="18">
      <c r="A53" s="45">
        <v>55</v>
      </c>
      <c r="B53" s="20" t="s">
        <v>45</v>
      </c>
      <c r="C53" s="62">
        <v>200</v>
      </c>
      <c r="D53" s="38">
        <v>12.75</v>
      </c>
      <c r="E53" s="19">
        <v>8.25</v>
      </c>
      <c r="F53" s="19">
        <v>9.7</v>
      </c>
      <c r="G53" s="19">
        <v>31.8</v>
      </c>
      <c r="H53" s="19">
        <v>247.5</v>
      </c>
    </row>
    <row r="54" spans="1:18" customHeight="1" ht="18">
      <c r="A54" s="111">
        <v>56</v>
      </c>
      <c r="B54" s="87" t="s">
        <v>73</v>
      </c>
      <c r="C54" s="112">
        <v>210</v>
      </c>
      <c r="D54" s="21">
        <f>17.88-5.63</f>
        <v>12.25</v>
      </c>
      <c r="E54" s="25">
        <f>2.4+1.88</f>
        <v>4.28</v>
      </c>
      <c r="F54" s="25">
        <v>4</v>
      </c>
      <c r="G54" s="25">
        <f>18.5+8.3</f>
        <v>26.8</v>
      </c>
      <c r="H54" s="25">
        <f>160.32-3</f>
        <v>157.32</v>
      </c>
    </row>
    <row r="55" spans="1:18" customHeight="1" ht="18" s="8" customFormat="1">
      <c r="A55" s="45">
        <v>241</v>
      </c>
      <c r="B55" s="27" t="s">
        <v>66</v>
      </c>
      <c r="C55" s="51">
        <v>130</v>
      </c>
      <c r="D55" s="108">
        <f>37.6-0.35+0.02</f>
        <v>37.27</v>
      </c>
      <c r="E55" s="108">
        <f>11.6+0.54</f>
        <v>12.14</v>
      </c>
      <c r="F55" s="108">
        <f>15.2-1.32</f>
        <v>13.88</v>
      </c>
      <c r="G55" s="108">
        <f>7.2+25.47-8.4-0.57</f>
        <v>23.7</v>
      </c>
      <c r="H55" s="108">
        <f>280.28-13.88</f>
        <v>266.4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customHeight="1" ht="18" s="8" customFormat="1">
      <c r="A56" s="45">
        <v>110</v>
      </c>
      <c r="B56" s="93" t="s">
        <v>55</v>
      </c>
      <c r="C56" s="56">
        <v>100</v>
      </c>
      <c r="D56" s="21">
        <f>40.65+4.6-3.12</f>
        <v>42.13</v>
      </c>
      <c r="E56" s="31">
        <v>6.68</v>
      </c>
      <c r="F56" s="31">
        <v>2.82</v>
      </c>
      <c r="G56" s="31">
        <v>8.7</v>
      </c>
      <c r="H56" s="31">
        <v>72.9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customHeight="1" ht="18">
      <c r="A57" s="45">
        <v>110</v>
      </c>
      <c r="B57" s="1" t="s">
        <v>81</v>
      </c>
      <c r="C57" s="29">
        <v>90</v>
      </c>
      <c r="D57" s="21">
        <f>40.96+8.12+2</f>
        <v>51.08</v>
      </c>
      <c r="E57" s="31">
        <f>6.9+0.74</f>
        <v>7.64</v>
      </c>
      <c r="F57" s="31">
        <f>6.1+4.57</f>
        <v>10.67</v>
      </c>
      <c r="G57" s="31">
        <f>28.7-9.33</f>
        <v>19.37</v>
      </c>
      <c r="H57" s="31">
        <f>193.3+8.03</f>
        <v>201.33</v>
      </c>
    </row>
    <row r="58" spans="1:18" customHeight="1" ht="18">
      <c r="A58" s="45">
        <v>96</v>
      </c>
      <c r="B58" s="1" t="s">
        <v>49</v>
      </c>
      <c r="C58" s="29">
        <v>90</v>
      </c>
      <c r="D58" s="21">
        <v>52.35</v>
      </c>
      <c r="E58" s="16">
        <f>14.02-7</f>
        <v>7.02</v>
      </c>
      <c r="F58" s="16">
        <f>9.3-1.96</f>
        <v>7.34</v>
      </c>
      <c r="G58" s="16">
        <v>7.1</v>
      </c>
      <c r="H58" s="16">
        <v>122.54</v>
      </c>
    </row>
    <row r="59" spans="1:18" customHeight="1" ht="18">
      <c r="A59" s="131">
        <v>97</v>
      </c>
      <c r="B59" s="151" t="s">
        <v>148</v>
      </c>
      <c r="C59" s="172">
        <v>90</v>
      </c>
      <c r="D59" s="191">
        <f>50.35-14+5-0.41+0.59-1.21+2+3.19-3.81</f>
        <v>41.7</v>
      </c>
      <c r="E59" s="217">
        <f>14.02-7+0.3</f>
        <v>7.32</v>
      </c>
      <c r="F59" s="217">
        <f>9.3-1.96+0.9</f>
        <v>8.24</v>
      </c>
      <c r="G59" s="217">
        <v>7.1</v>
      </c>
      <c r="H59" s="217">
        <v>131.84</v>
      </c>
    </row>
    <row r="60" spans="1:18" customHeight="1" ht="18">
      <c r="A60" s="128">
        <v>107</v>
      </c>
      <c r="B60" s="154" t="s">
        <v>63</v>
      </c>
      <c r="C60" s="173">
        <v>90</v>
      </c>
      <c r="D60" s="186">
        <f>36.51+3.12+2.22</f>
        <v>41.85</v>
      </c>
      <c r="E60" s="202">
        <f>8.82+3-4.41</f>
        <v>7.41</v>
      </c>
      <c r="F60" s="202">
        <f>7.05+0.77</f>
        <v>7.82</v>
      </c>
      <c r="G60" s="202">
        <f>20.78+0.51</f>
        <v>21.29</v>
      </c>
      <c r="H60" s="202">
        <v>185.18</v>
      </c>
    </row>
    <row r="61" spans="1:18" customHeight="1" ht="18">
      <c r="A61" s="45" t="s">
        <v>18</v>
      </c>
      <c r="B61" s="14" t="s">
        <v>34</v>
      </c>
      <c r="C61" s="30">
        <v>100</v>
      </c>
      <c r="D61" s="41">
        <f>11.56+3.19</f>
        <v>14.75</v>
      </c>
      <c r="E61" s="17">
        <v>0.84115384615385</v>
      </c>
      <c r="F61" s="17">
        <v>0.18692307692308</v>
      </c>
      <c r="G61" s="17">
        <v>2.1426923076923</v>
      </c>
      <c r="H61" s="17">
        <v>13.62</v>
      </c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customHeight="1" ht="18">
      <c r="A62" s="45" t="s">
        <v>18</v>
      </c>
      <c r="B62" s="14" t="s">
        <v>34</v>
      </c>
      <c r="C62" s="30">
        <v>100</v>
      </c>
      <c r="D62" s="41">
        <f>13.841666666667+3.19</f>
        <v>17.031666666667</v>
      </c>
      <c r="E62" s="17">
        <v>0.70096153846154</v>
      </c>
      <c r="F62" s="17">
        <v>0.15576923076923</v>
      </c>
      <c r="G62" s="17">
        <v>1.7855769230769</v>
      </c>
      <c r="H62" s="17">
        <v>11.35</v>
      </c>
    </row>
    <row r="63" spans="1:18" customHeight="1" ht="15.75">
      <c r="A63" s="45" t="s">
        <v>18</v>
      </c>
      <c r="B63" s="14" t="s">
        <v>34</v>
      </c>
      <c r="C63" s="30">
        <v>100</v>
      </c>
      <c r="D63" s="41">
        <f>17.03+2.97</f>
        <v>20</v>
      </c>
      <c r="E63" s="17">
        <v>0.84115384615385</v>
      </c>
      <c r="F63" s="17">
        <v>0.18692307692308</v>
      </c>
      <c r="G63" s="17">
        <v>2.1426923076923</v>
      </c>
      <c r="H63" s="17">
        <v>13.62</v>
      </c>
    </row>
    <row r="64" spans="1:18" customHeight="1" ht="15.75">
      <c r="A64" s="45" t="s">
        <v>18</v>
      </c>
      <c r="B64" s="14" t="s">
        <v>34</v>
      </c>
      <c r="C64" s="30">
        <v>120</v>
      </c>
      <c r="D64" s="108">
        <f>30.23/130*110-2.15</f>
        <v>23.429230769231</v>
      </c>
      <c r="E64" s="108">
        <v>1.5421153846154</v>
      </c>
      <c r="F64" s="108">
        <v>0.34269230769231</v>
      </c>
      <c r="G64" s="108">
        <v>3.9282692307692</v>
      </c>
      <c r="H64" s="108">
        <v>24.97</v>
      </c>
    </row>
    <row r="65" spans="1:18" customHeight="1" ht="18">
      <c r="A65" s="45" t="s">
        <v>18</v>
      </c>
      <c r="B65" s="25" t="s">
        <v>77</v>
      </c>
      <c r="C65" s="51">
        <v>100</v>
      </c>
      <c r="D65" s="21">
        <v>23.25</v>
      </c>
      <c r="E65" s="17">
        <v>1.4019230769231</v>
      </c>
      <c r="F65" s="17">
        <v>0.31153846153846</v>
      </c>
      <c r="G65" s="17">
        <v>3.5711538461538</v>
      </c>
      <c r="H65" s="17">
        <v>22.7</v>
      </c>
    </row>
    <row r="66" spans="1:18" customHeight="1" ht="18">
      <c r="A66" s="48" t="s">
        <v>29</v>
      </c>
      <c r="B66" s="4" t="s">
        <v>14</v>
      </c>
      <c r="C66" s="51">
        <v>30</v>
      </c>
      <c r="D66" s="21">
        <v>3.12</v>
      </c>
      <c r="E66" s="4">
        <f>7.9/100*30</f>
        <v>2.37</v>
      </c>
      <c r="F66" s="4">
        <f>1/100*30</f>
        <v>0.3</v>
      </c>
      <c r="G66" s="4">
        <f>48.3/100*30</f>
        <v>14.49</v>
      </c>
      <c r="H66" s="4">
        <v>70.14</v>
      </c>
    </row>
    <row r="67" spans="1:18" customHeight="1" ht="18">
      <c r="A67" s="101" t="s">
        <v>29</v>
      </c>
      <c r="B67" s="155" t="s">
        <v>14</v>
      </c>
      <c r="C67" s="164">
        <v>30</v>
      </c>
      <c r="D67" s="186">
        <v>3.12</v>
      </c>
      <c r="E67" s="197">
        <f>7.9/100*30</f>
        <v>2.37</v>
      </c>
      <c r="F67" s="197">
        <f>1/100*30</f>
        <v>0.3</v>
      </c>
      <c r="G67" s="197">
        <f>48.3/100*30</f>
        <v>14.49</v>
      </c>
      <c r="H67" s="197">
        <v>70.14</v>
      </c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customHeight="1" ht="18">
      <c r="A68" s="48" t="s">
        <v>29</v>
      </c>
      <c r="B68" s="4" t="s">
        <v>14</v>
      </c>
      <c r="C68" s="51">
        <v>40</v>
      </c>
      <c r="D68" s="21">
        <v>4.16</v>
      </c>
      <c r="E68" s="4">
        <f>7.9/100*30</f>
        <v>2.37</v>
      </c>
      <c r="F68" s="4">
        <f>1/100*30</f>
        <v>0.3</v>
      </c>
      <c r="G68" s="4">
        <f>48.3/100*30</f>
        <v>14.49</v>
      </c>
      <c r="H68" s="4">
        <v>70.14</v>
      </c>
    </row>
    <row r="69" spans="1:18" customHeight="1" ht="18">
      <c r="A69" s="48" t="s">
        <v>29</v>
      </c>
      <c r="B69" s="4" t="s">
        <v>14</v>
      </c>
      <c r="C69" s="168">
        <v>40</v>
      </c>
      <c r="D69" s="21">
        <f>3.12/30*40</f>
        <v>4.16</v>
      </c>
      <c r="E69" s="4">
        <f>7.9/100*30</f>
        <v>2.37</v>
      </c>
      <c r="F69" s="4">
        <f>1/100*30</f>
        <v>0.3</v>
      </c>
      <c r="G69" s="4">
        <f>48.3/100*30</f>
        <v>14.49</v>
      </c>
      <c r="H69" s="4">
        <v>70.14</v>
      </c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customHeight="1" ht="18" s="8" customFormat="1">
      <c r="A70" s="48" t="s">
        <v>29</v>
      </c>
      <c r="B70" s="4" t="s">
        <v>14</v>
      </c>
      <c r="C70" s="51">
        <v>30</v>
      </c>
      <c r="D70" s="21">
        <v>3.12</v>
      </c>
      <c r="E70" s="4">
        <f>7.9/100*30</f>
        <v>2.37</v>
      </c>
      <c r="F70" s="4">
        <f>1/100*30</f>
        <v>0.3</v>
      </c>
      <c r="G70" s="4">
        <f>48.3/100*30</f>
        <v>14.49</v>
      </c>
      <c r="H70" s="4">
        <v>70.14</v>
      </c>
    </row>
    <row r="71" spans="1:18" customHeight="1" ht="18">
      <c r="A71" s="48" t="s">
        <v>29</v>
      </c>
      <c r="B71" s="4" t="s">
        <v>14</v>
      </c>
      <c r="C71" s="51">
        <v>30</v>
      </c>
      <c r="D71" s="21">
        <v>3.12</v>
      </c>
      <c r="E71" s="4">
        <f>7.9/100*30</f>
        <v>2.37</v>
      </c>
      <c r="F71" s="4">
        <f>1/100*30</f>
        <v>0.3</v>
      </c>
      <c r="G71" s="4">
        <f>48.3/100*30</f>
        <v>14.49</v>
      </c>
      <c r="H71" s="4">
        <v>70.14</v>
      </c>
    </row>
    <row r="72" spans="1:18" customHeight="1" ht="18">
      <c r="A72" s="48" t="s">
        <v>29</v>
      </c>
      <c r="B72" s="4" t="s">
        <v>14</v>
      </c>
      <c r="C72" s="51">
        <v>30</v>
      </c>
      <c r="D72" s="21">
        <v>3.12</v>
      </c>
      <c r="E72" s="4">
        <f>7.9/100*30</f>
        <v>2.37</v>
      </c>
      <c r="F72" s="4">
        <f>1/100*30</f>
        <v>0.3</v>
      </c>
      <c r="G72" s="4">
        <f>48.3/100*30</f>
        <v>14.49</v>
      </c>
      <c r="H72" s="4">
        <v>70.14</v>
      </c>
    </row>
    <row r="73" spans="1:18" customHeight="1" ht="18">
      <c r="A73" s="48" t="s">
        <v>29</v>
      </c>
      <c r="B73" s="4" t="s">
        <v>14</v>
      </c>
      <c r="C73" s="51">
        <v>30</v>
      </c>
      <c r="D73" s="21">
        <v>3.12</v>
      </c>
      <c r="E73" s="4">
        <f>7.9/100*30</f>
        <v>2.37</v>
      </c>
      <c r="F73" s="4">
        <f>1/100*30</f>
        <v>0.3</v>
      </c>
      <c r="G73" s="4">
        <f>48.3/100*30</f>
        <v>14.49</v>
      </c>
      <c r="H73" s="4">
        <v>70.14</v>
      </c>
    </row>
    <row r="74" spans="1:18" customHeight="1" ht="18">
      <c r="A74" s="48" t="s">
        <v>29</v>
      </c>
      <c r="B74" s="4" t="s">
        <v>14</v>
      </c>
      <c r="C74" s="51">
        <v>45</v>
      </c>
      <c r="D74" s="21">
        <v>4.83</v>
      </c>
      <c r="E74" s="4">
        <f>7.9/100*30</f>
        <v>2.37</v>
      </c>
      <c r="F74" s="4">
        <f>1/100*30</f>
        <v>0.3</v>
      </c>
      <c r="G74" s="4">
        <f>48.3/100*30</f>
        <v>14.49</v>
      </c>
      <c r="H74" s="4">
        <v>70.14</v>
      </c>
      <c r="J74" s="114"/>
    </row>
    <row r="75" spans="1:18" customHeight="1" ht="18">
      <c r="A75" s="138" t="s">
        <v>29</v>
      </c>
      <c r="B75" s="150" t="s">
        <v>14</v>
      </c>
      <c r="C75" s="171">
        <v>30</v>
      </c>
      <c r="D75" s="191">
        <v>3.12</v>
      </c>
      <c r="E75" s="197">
        <f>7.9/100*30</f>
        <v>2.37</v>
      </c>
      <c r="F75" s="197">
        <f>1/100*30</f>
        <v>0.3</v>
      </c>
      <c r="G75" s="197">
        <f>48.3/100*30</f>
        <v>14.49</v>
      </c>
      <c r="H75" s="197">
        <v>70.14</v>
      </c>
    </row>
    <row r="76" spans="1:18" customHeight="1" ht="39.75">
      <c r="A76" s="129" t="s">
        <v>29</v>
      </c>
      <c r="B76" s="143" t="s">
        <v>14</v>
      </c>
      <c r="C76" s="163">
        <v>30</v>
      </c>
      <c r="D76" s="186">
        <v>3.12</v>
      </c>
      <c r="E76" s="197">
        <f>7.9/100*30</f>
        <v>2.37</v>
      </c>
      <c r="F76" s="197">
        <f>1/100*30</f>
        <v>0.3</v>
      </c>
      <c r="G76" s="197">
        <f>48.3/100*30</f>
        <v>14.49</v>
      </c>
      <c r="H76" s="197">
        <v>70.14</v>
      </c>
    </row>
    <row r="77" spans="1:18" customHeight="1" ht="15.75">
      <c r="A77" s="48" t="s">
        <v>27</v>
      </c>
      <c r="B77" s="4" t="s">
        <v>28</v>
      </c>
      <c r="C77" s="51">
        <v>30</v>
      </c>
      <c r="D77" s="21">
        <v>2.76</v>
      </c>
      <c r="E77" s="2">
        <f>6.6/100*30</f>
        <v>1.98</v>
      </c>
      <c r="F77" s="52">
        <f>1.2/100*30</f>
        <v>0.36</v>
      </c>
      <c r="G77" s="2">
        <f>33.4/100*30</f>
        <v>10.02</v>
      </c>
      <c r="H77" s="2">
        <v>51.24</v>
      </c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customHeight="1" ht="18">
      <c r="A78" s="48" t="s">
        <v>27</v>
      </c>
      <c r="B78" s="4" t="s">
        <v>28</v>
      </c>
      <c r="C78" s="51">
        <v>30</v>
      </c>
      <c r="D78" s="21">
        <v>2.76</v>
      </c>
      <c r="E78" s="2">
        <f>6.6/100*30</f>
        <v>1.98</v>
      </c>
      <c r="F78" s="52">
        <f>1.2/100*30</f>
        <v>0.36</v>
      </c>
      <c r="G78" s="2">
        <f>33.4/100*30</f>
        <v>10.02</v>
      </c>
      <c r="H78" s="2">
        <v>51.24</v>
      </c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customHeight="1" ht="18">
      <c r="A79" s="48" t="s">
        <v>27</v>
      </c>
      <c r="B79" s="4" t="s">
        <v>28</v>
      </c>
      <c r="C79" s="51">
        <v>30</v>
      </c>
      <c r="D79" s="21">
        <v>2.76</v>
      </c>
      <c r="E79" s="2">
        <f>6.6/100*30</f>
        <v>1.98</v>
      </c>
      <c r="F79" s="52">
        <f>1.2/100*30</f>
        <v>0.36</v>
      </c>
      <c r="G79" s="2">
        <f>33.4/100*30</f>
        <v>10.02</v>
      </c>
      <c r="H79" s="2">
        <v>51.24</v>
      </c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customHeight="1" ht="18">
      <c r="A80" s="48" t="s">
        <v>27</v>
      </c>
      <c r="B80" s="4" t="s">
        <v>28</v>
      </c>
      <c r="C80" s="51">
        <v>40</v>
      </c>
      <c r="D80" s="21">
        <v>2.76</v>
      </c>
      <c r="E80" s="2">
        <f>6.6/100*30</f>
        <v>1.98</v>
      </c>
      <c r="F80" s="52">
        <f>1.2/100*30</f>
        <v>0.36</v>
      </c>
      <c r="G80" s="2">
        <f>33.4/100*30</f>
        <v>10.02</v>
      </c>
      <c r="H80" s="2">
        <v>51.24</v>
      </c>
    </row>
    <row r="81" spans="1:18" customHeight="1" ht="18">
      <c r="A81" s="48" t="s">
        <v>27</v>
      </c>
      <c r="B81" s="4" t="s">
        <v>28</v>
      </c>
      <c r="C81" s="59">
        <v>30</v>
      </c>
      <c r="D81" s="21">
        <v>2.76</v>
      </c>
      <c r="E81" s="2">
        <f>6.6/100*30</f>
        <v>1.98</v>
      </c>
      <c r="F81" s="52">
        <f>1.2/100*30</f>
        <v>0.36</v>
      </c>
      <c r="G81" s="2">
        <f>33.4/100*30</f>
        <v>10.02</v>
      </c>
      <c r="H81" s="2">
        <v>51.24</v>
      </c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customHeight="1" ht="18">
      <c r="A82" s="130" t="s">
        <v>27</v>
      </c>
      <c r="B82" s="144" t="s">
        <v>28</v>
      </c>
      <c r="C82" s="164">
        <v>40</v>
      </c>
      <c r="D82" s="186">
        <v>2.76</v>
      </c>
      <c r="E82" s="198">
        <f>6.6/100*30</f>
        <v>1.98</v>
      </c>
      <c r="F82" s="206">
        <f>1.2/100*30</f>
        <v>0.36</v>
      </c>
      <c r="G82" s="198">
        <f>33.4/100*30</f>
        <v>10.02</v>
      </c>
      <c r="H82" s="198">
        <v>51.24</v>
      </c>
    </row>
    <row r="83" spans="1:18" customHeight="1" ht="18">
      <c r="A83" s="48" t="s">
        <v>27</v>
      </c>
      <c r="B83" s="4" t="s">
        <v>28</v>
      </c>
      <c r="C83" s="51">
        <v>40</v>
      </c>
      <c r="D83" s="21">
        <v>2.76</v>
      </c>
      <c r="E83" s="2">
        <f>6.6/100*30</f>
        <v>1.98</v>
      </c>
      <c r="F83" s="52">
        <f>1.2/100*30</f>
        <v>0.36</v>
      </c>
      <c r="G83" s="2">
        <f>33.4/100*30</f>
        <v>10.02</v>
      </c>
      <c r="H83" s="2">
        <v>51.24</v>
      </c>
    </row>
    <row r="84" spans="1:18" customHeight="1" ht="18" s="8" customFormat="1">
      <c r="A84" s="48" t="s">
        <v>27</v>
      </c>
      <c r="B84" s="4" t="s">
        <v>28</v>
      </c>
      <c r="C84" s="51">
        <v>30</v>
      </c>
      <c r="D84" s="21">
        <v>2.76</v>
      </c>
      <c r="E84" s="2">
        <f>6.6/100*30</f>
        <v>1.98</v>
      </c>
      <c r="F84" s="52">
        <f>1.2/100*30</f>
        <v>0.36</v>
      </c>
      <c r="G84" s="2">
        <f>33.4/100*30</f>
        <v>10.02</v>
      </c>
      <c r="H84" s="2">
        <v>51.24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customHeight="1" ht="18" s="8" customFormat="1">
      <c r="A85" s="48" t="s">
        <v>27</v>
      </c>
      <c r="B85" s="148" t="s">
        <v>28</v>
      </c>
      <c r="C85" s="168">
        <v>30</v>
      </c>
      <c r="D85" s="21">
        <v>2.76</v>
      </c>
      <c r="E85" s="2">
        <f>6.6/100*30</f>
        <v>1.98</v>
      </c>
      <c r="F85" s="52">
        <f>1.2/100*30</f>
        <v>0.36</v>
      </c>
      <c r="G85" s="2">
        <f>33.4/100*30</f>
        <v>10.02</v>
      </c>
      <c r="H85" s="2">
        <v>51.24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customHeight="1" ht="18">
      <c r="A86" s="48" t="s">
        <v>27</v>
      </c>
      <c r="B86" s="4" t="s">
        <v>28</v>
      </c>
      <c r="C86" s="51">
        <v>30</v>
      </c>
      <c r="D86" s="21">
        <v>2.76</v>
      </c>
      <c r="E86" s="2">
        <f>6.6/100*30</f>
        <v>1.98</v>
      </c>
      <c r="F86" s="52">
        <f>1.2/100*30</f>
        <v>0.36</v>
      </c>
      <c r="G86" s="2">
        <f>33.4/100*30</f>
        <v>10.02</v>
      </c>
      <c r="H86" s="2">
        <v>51.24</v>
      </c>
    </row>
    <row r="87" spans="1:18" customHeight="1" ht="18">
      <c r="A87" s="45">
        <v>300</v>
      </c>
      <c r="B87" s="25" t="s">
        <v>33</v>
      </c>
      <c r="C87" s="51">
        <v>200</v>
      </c>
      <c r="D87" s="21">
        <v>3.52</v>
      </c>
      <c r="E87" s="4">
        <v>0.1</v>
      </c>
      <c r="F87" s="4">
        <v>0.0</v>
      </c>
      <c r="G87" s="4">
        <v>20.2</v>
      </c>
      <c r="H87" s="4">
        <v>81.2</v>
      </c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customHeight="1" ht="18">
      <c r="A88" s="45">
        <v>300</v>
      </c>
      <c r="B88" s="25" t="s">
        <v>33</v>
      </c>
      <c r="C88" s="51">
        <v>200</v>
      </c>
      <c r="D88" s="21">
        <v>3.52</v>
      </c>
      <c r="E88" s="4">
        <v>0.1</v>
      </c>
      <c r="F88" s="4">
        <v>0.0</v>
      </c>
      <c r="G88" s="4">
        <v>20.2</v>
      </c>
      <c r="H88" s="4">
        <v>81.2</v>
      </c>
    </row>
    <row r="89" spans="1:18" customHeight="1" ht="18">
      <c r="A89" s="45">
        <v>300</v>
      </c>
      <c r="B89" s="25" t="s">
        <v>33</v>
      </c>
      <c r="C89" s="51">
        <v>200</v>
      </c>
      <c r="D89" s="21">
        <v>3.52</v>
      </c>
      <c r="E89" s="4">
        <v>0.1</v>
      </c>
      <c r="F89" s="4">
        <v>0.0</v>
      </c>
      <c r="G89" s="4">
        <v>20.2</v>
      </c>
      <c r="H89" s="4">
        <v>81.2</v>
      </c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customHeight="1" ht="18">
      <c r="A90" s="131">
        <v>300</v>
      </c>
      <c r="B90" s="156" t="s">
        <v>33</v>
      </c>
      <c r="C90" s="171">
        <v>200</v>
      </c>
      <c r="D90" s="191">
        <v>3.52</v>
      </c>
      <c r="E90" s="197">
        <v>0.1</v>
      </c>
      <c r="F90" s="197">
        <v>0.0</v>
      </c>
      <c r="G90" s="197">
        <v>20.2</v>
      </c>
      <c r="H90" s="197">
        <v>81.2</v>
      </c>
    </row>
    <row r="91" spans="1:18" customHeight="1" ht="18">
      <c r="A91" s="128">
        <v>300</v>
      </c>
      <c r="B91" s="142" t="s">
        <v>33</v>
      </c>
      <c r="C91" s="163">
        <v>200</v>
      </c>
      <c r="D91" s="185">
        <v>3.52</v>
      </c>
      <c r="E91" s="196">
        <v>0.1</v>
      </c>
      <c r="F91" s="196">
        <v>0.0</v>
      </c>
      <c r="G91" s="196">
        <v>20.2</v>
      </c>
      <c r="H91" s="196">
        <v>81.2</v>
      </c>
    </row>
    <row r="92" spans="1:18" customHeight="1" ht="18" s="8" customFormat="1">
      <c r="A92" s="45">
        <v>300</v>
      </c>
      <c r="B92" s="25" t="s">
        <v>33</v>
      </c>
      <c r="C92" s="51">
        <v>200</v>
      </c>
      <c r="D92" s="109">
        <v>3.52</v>
      </c>
      <c r="E92" s="108">
        <v>0.1</v>
      </c>
      <c r="F92" s="108">
        <v>0.0</v>
      </c>
      <c r="G92" s="108">
        <v>20.2</v>
      </c>
      <c r="H92" s="108">
        <v>81.2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customHeight="1" ht="18">
      <c r="A93" s="45">
        <v>300</v>
      </c>
      <c r="B93" s="25" t="s">
        <v>33</v>
      </c>
      <c r="C93" s="51">
        <v>200</v>
      </c>
      <c r="D93" s="21">
        <v>3.52</v>
      </c>
      <c r="E93" s="4">
        <v>0.1</v>
      </c>
      <c r="F93" s="4">
        <v>0.0</v>
      </c>
      <c r="G93" s="4">
        <v>20.2</v>
      </c>
      <c r="H93" s="4">
        <v>81.2</v>
      </c>
    </row>
    <row r="94" spans="1:18" customHeight="1" ht="18">
      <c r="A94" s="45">
        <v>300</v>
      </c>
      <c r="B94" s="25" t="s">
        <v>33</v>
      </c>
      <c r="C94" s="51">
        <v>200</v>
      </c>
      <c r="D94" s="21">
        <v>3.52</v>
      </c>
      <c r="E94" s="4">
        <v>0.1</v>
      </c>
      <c r="F94" s="4">
        <v>0.0</v>
      </c>
      <c r="G94" s="4">
        <v>20.2</v>
      </c>
      <c r="H94" s="4">
        <v>81.2</v>
      </c>
    </row>
    <row r="95" spans="1:18" customHeight="1" ht="18">
      <c r="A95" s="45">
        <v>300</v>
      </c>
      <c r="B95" s="25" t="s">
        <v>33</v>
      </c>
      <c r="C95" s="51">
        <v>200</v>
      </c>
      <c r="D95" s="21">
        <v>3.52</v>
      </c>
      <c r="E95" s="4">
        <v>0.1</v>
      </c>
      <c r="F95" s="4">
        <v>0.0</v>
      </c>
      <c r="G95" s="4">
        <v>20.2</v>
      </c>
      <c r="H95" s="4">
        <v>81.2</v>
      </c>
    </row>
    <row r="96" spans="1:18" customHeight="1" ht="18">
      <c r="A96" s="45">
        <v>300</v>
      </c>
      <c r="B96" s="25" t="s">
        <v>33</v>
      </c>
      <c r="C96" s="51">
        <v>200</v>
      </c>
      <c r="D96" s="21">
        <v>3.52</v>
      </c>
      <c r="E96" s="4">
        <v>0.1</v>
      </c>
      <c r="F96" s="4">
        <v>0.0</v>
      </c>
      <c r="G96" s="4">
        <v>20.2</v>
      </c>
      <c r="H96" s="4">
        <v>81.2</v>
      </c>
    </row>
    <row r="97" spans="1:18" customHeight="1" ht="18">
      <c r="A97" s="92">
        <v>300</v>
      </c>
      <c r="B97" s="153" t="s">
        <v>33</v>
      </c>
      <c r="C97" s="99">
        <v>200</v>
      </c>
      <c r="D97" s="186">
        <v>3.52</v>
      </c>
      <c r="E97" s="197">
        <v>0.1</v>
      </c>
      <c r="F97" s="197">
        <v>0.0</v>
      </c>
      <c r="G97" s="197">
        <v>20.2</v>
      </c>
      <c r="H97" s="197">
        <v>81.2</v>
      </c>
    </row>
    <row r="98" spans="1:18" customHeight="1" ht="33.75">
      <c r="A98" s="45">
        <v>300</v>
      </c>
      <c r="B98" s="25" t="s">
        <v>61</v>
      </c>
      <c r="C98" s="51">
        <v>200</v>
      </c>
      <c r="D98" s="38">
        <v>3.52</v>
      </c>
      <c r="E98" s="4">
        <v>0.1</v>
      </c>
      <c r="F98" s="4">
        <v>0.0</v>
      </c>
      <c r="G98" s="4">
        <v>20.2</v>
      </c>
      <c r="H98" s="4">
        <v>81.2</v>
      </c>
    </row>
    <row r="99" spans="1:18" customHeight="1" ht="18" s="8" customFormat="1">
      <c r="A99" s="45">
        <v>300</v>
      </c>
      <c r="B99" s="25" t="s">
        <v>16</v>
      </c>
      <c r="C99" s="118" t="s">
        <v>17</v>
      </c>
      <c r="D99" s="21">
        <v>5.99</v>
      </c>
      <c r="E99" s="4">
        <v>0.1</v>
      </c>
      <c r="F99" s="4">
        <v>0.0</v>
      </c>
      <c r="G99" s="4">
        <v>20.2</v>
      </c>
      <c r="H99" s="4">
        <v>81.2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customHeight="1" ht="18" s="8" customFormat="1">
      <c r="A100" s="45">
        <v>62</v>
      </c>
      <c r="B100" s="87" t="s">
        <v>62</v>
      </c>
      <c r="C100" s="58">
        <v>220</v>
      </c>
      <c r="D100" s="41">
        <v>14.025</v>
      </c>
      <c r="E100" s="16">
        <v>6.38</v>
      </c>
      <c r="F100" s="16">
        <v>7.73</v>
      </c>
      <c r="G100" s="16">
        <v>30.58</v>
      </c>
      <c r="H100" s="16">
        <v>215.41</v>
      </c>
      <c r="I100" s="11"/>
      <c r="J100" s="11"/>
      <c r="K100" s="11"/>
      <c r="L100" s="11"/>
      <c r="M100" s="11"/>
      <c r="N100" s="11">
        <f>D101/200*220</f>
        <v>14.025</v>
      </c>
      <c r="O100" s="11"/>
      <c r="P100" s="11"/>
      <c r="Q100" s="11"/>
      <c r="R100" s="11"/>
    </row>
    <row r="101" spans="1:18" customHeight="1" ht="18">
      <c r="A101" s="45">
        <v>62</v>
      </c>
      <c r="B101" s="1" t="s">
        <v>36</v>
      </c>
      <c r="C101" s="29">
        <v>200</v>
      </c>
      <c r="D101" s="21">
        <v>12.75</v>
      </c>
      <c r="E101" s="16">
        <v>5.8</v>
      </c>
      <c r="F101" s="16">
        <v>4.3</v>
      </c>
      <c r="G101" s="16">
        <v>27.8</v>
      </c>
      <c r="H101" s="4">
        <v>173.1</v>
      </c>
    </row>
    <row r="102" spans="1:18" customHeight="1" ht="18">
      <c r="A102" s="66"/>
      <c r="B102" s="162"/>
      <c r="C102" s="162"/>
      <c r="D102" s="162"/>
      <c r="E102" s="162"/>
      <c r="F102" s="162"/>
      <c r="G102" s="162"/>
      <c r="H102" s="219"/>
    </row>
    <row r="103" spans="1:18" customHeight="1" ht="18">
      <c r="A103" s="133"/>
      <c r="B103" s="25"/>
      <c r="C103" s="166"/>
      <c r="D103" s="21"/>
      <c r="E103" s="3"/>
      <c r="F103" s="3"/>
      <c r="G103" s="3"/>
      <c r="H103" s="1"/>
    </row>
    <row r="104" spans="1:18" customHeight="1" ht="18">
      <c r="A104" s="133"/>
      <c r="B104" s="25"/>
      <c r="C104" s="166"/>
      <c r="D104" s="21"/>
      <c r="E104" s="25" t="s">
        <v>7</v>
      </c>
      <c r="F104" s="25" t="s">
        <v>8</v>
      </c>
      <c r="G104" s="25" t="s">
        <v>9</v>
      </c>
      <c r="H104" s="1"/>
    </row>
    <row r="105" spans="1:18" customHeight="1" ht="18">
      <c r="A105" s="133"/>
      <c r="B105" s="25"/>
      <c r="C105" s="166"/>
      <c r="D105" s="21"/>
      <c r="E105" s="25"/>
      <c r="F105" s="25"/>
      <c r="G105" s="25"/>
      <c r="H105" s="1"/>
    </row>
    <row r="106" spans="1:18" customHeight="1" ht="18">
      <c r="A106" s="139"/>
      <c r="B106" s="153"/>
      <c r="C106" s="180"/>
      <c r="D106" s="193"/>
      <c r="E106" s="218"/>
      <c r="F106" s="218"/>
      <c r="G106" s="218"/>
      <c r="H106" s="28"/>
    </row>
    <row r="107" spans="1:18" customHeight="1" ht="18">
      <c r="A107" s="125" t="s">
        <v>10</v>
      </c>
      <c r="B107" s="33"/>
      <c r="C107" s="54"/>
      <c r="D107" s="3"/>
      <c r="E107" s="3"/>
      <c r="F107" s="3"/>
      <c r="G107" s="3"/>
      <c r="H107" s="3"/>
    </row>
    <row r="108" spans="1:18" customHeight="1" ht="18">
      <c r="A108" s="3" t="s">
        <v>11</v>
      </c>
      <c r="B108" s="3"/>
      <c r="C108" s="12"/>
      <c r="D108" s="35"/>
      <c r="E108" s="12"/>
      <c r="F108" s="12"/>
      <c r="G108" s="12"/>
      <c r="H108" s="12"/>
    </row>
    <row r="109" spans="1:18" customHeight="1" ht="18">
      <c r="A109" s="3" t="s">
        <v>21</v>
      </c>
      <c r="B109" s="3"/>
      <c r="C109" s="12"/>
      <c r="D109" s="35"/>
      <c r="E109" s="3"/>
      <c r="F109" s="3"/>
      <c r="G109" s="3"/>
      <c r="H109" s="3"/>
      <c r="I109" s="114">
        <f>E108-E109</f>
        <v>0</v>
      </c>
      <c r="J109" s="114">
        <f>F108-F109</f>
        <v>0</v>
      </c>
      <c r="K109" s="114">
        <f>G108-G109</f>
        <v>0</v>
      </c>
      <c r="L109" s="114">
        <f>H108-H109</f>
        <v>0</v>
      </c>
    </row>
    <row r="110" spans="1:18" customHeight="1" ht="18" s="8" customFormat="1">
      <c r="A110" s="132"/>
      <c r="B110" s="3"/>
      <c r="C110" s="50"/>
      <c r="D110" s="35"/>
      <c r="E110" s="6"/>
      <c r="F110" s="6"/>
      <c r="G110" s="6"/>
      <c r="H110" s="6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customHeight="1" ht="18">
      <c r="A111" s="3" t="s">
        <v>31</v>
      </c>
      <c r="B111" s="3"/>
      <c r="C111" s="12"/>
      <c r="D111" s="3"/>
      <c r="E111" s="6"/>
      <c r="F111" s="6"/>
      <c r="G111" s="6"/>
      <c r="H111" s="3"/>
    </row>
    <row r="112" spans="1:18" customHeight="1" ht="18">
      <c r="A112" s="3" t="s">
        <v>11</v>
      </c>
      <c r="B112" s="3"/>
      <c r="C112" s="12"/>
      <c r="D112" s="35"/>
      <c r="E112" s="3"/>
      <c r="F112" s="5"/>
      <c r="G112" s="3"/>
      <c r="H112" s="3"/>
    </row>
    <row r="113" spans="1:18" customHeight="1" ht="18">
      <c r="A113" s="18" t="s">
        <v>21</v>
      </c>
      <c r="B113" s="18"/>
      <c r="C113" s="174"/>
      <c r="D113" s="36"/>
      <c r="E113" s="18"/>
      <c r="F113" s="18"/>
      <c r="G113" s="18"/>
      <c r="H113" s="18"/>
    </row>
    <row r="114" spans="1:18" customHeight="1" ht="18">
      <c r="A114" s="24" t="s">
        <v>41</v>
      </c>
      <c r="B114" s="24"/>
      <c r="C114" s="44"/>
      <c r="D114" s="18"/>
      <c r="E114" s="18"/>
      <c r="F114" s="18"/>
      <c r="G114" s="18"/>
      <c r="H114" s="18"/>
    </row>
    <row r="115" spans="1:18" customHeight="1" ht="18">
      <c r="A115" s="3" t="s">
        <v>42</v>
      </c>
      <c r="B115" s="3"/>
      <c r="C115" s="117"/>
      <c r="D115" s="195"/>
      <c r="E115" s="6"/>
      <c r="F115" s="3"/>
      <c r="G115" s="3"/>
      <c r="H115" s="3"/>
    </row>
    <row r="116" spans="1:18" customHeight="1" ht="18">
      <c r="A116" s="125" t="s">
        <v>21</v>
      </c>
      <c r="B116" s="3"/>
      <c r="C116" s="117"/>
      <c r="D116" s="35"/>
      <c r="E116" s="3"/>
      <c r="F116" s="3"/>
      <c r="G116" s="3"/>
      <c r="H116" s="3"/>
    </row>
    <row r="117" spans="1:18" customHeight="1" ht="18">
      <c r="A117" s="3" t="s">
        <v>48</v>
      </c>
      <c r="B117" s="145"/>
      <c r="C117" s="12"/>
      <c r="D117" s="3"/>
      <c r="E117" s="3"/>
      <c r="F117" s="3"/>
      <c r="G117" s="3"/>
      <c r="H117" s="3"/>
    </row>
    <row r="118" spans="1:18" customHeight="1" ht="18">
      <c r="A118" s="3" t="s">
        <v>42</v>
      </c>
      <c r="B118" s="3"/>
      <c r="C118" s="12"/>
      <c r="D118" s="35"/>
      <c r="E118" s="5"/>
      <c r="F118" s="3"/>
      <c r="G118" s="5"/>
      <c r="H118" s="3"/>
    </row>
    <row r="119" spans="1:18" customHeight="1" ht="18">
      <c r="A119" s="3" t="s">
        <v>21</v>
      </c>
      <c r="B119" s="3"/>
      <c r="C119" s="12"/>
      <c r="D119" s="35"/>
      <c r="E119" s="3"/>
      <c r="F119" s="3"/>
      <c r="G119" s="3"/>
      <c r="H119" s="3"/>
    </row>
    <row r="120" spans="1:18" customHeight="1" ht="18">
      <c r="A120" s="3" t="s">
        <v>54</v>
      </c>
      <c r="B120" s="3"/>
      <c r="C120" s="12"/>
      <c r="D120" s="3"/>
      <c r="E120" s="3"/>
      <c r="F120" s="3"/>
      <c r="G120" s="3"/>
      <c r="H120" s="3"/>
    </row>
    <row r="121" spans="1:18" customHeight="1" ht="18">
      <c r="A121" s="3" t="s">
        <v>42</v>
      </c>
      <c r="B121" s="3"/>
      <c r="C121" s="12"/>
      <c r="D121" s="35"/>
      <c r="E121" s="3"/>
      <c r="F121" s="5"/>
      <c r="G121" s="5"/>
      <c r="H121" s="3"/>
    </row>
    <row r="122" spans="1:18" customHeight="1" ht="18">
      <c r="A122" s="122" t="s">
        <v>21</v>
      </c>
      <c r="B122" s="23"/>
      <c r="C122" s="53"/>
      <c r="D122" s="71"/>
      <c r="E122" s="18"/>
      <c r="F122" s="18"/>
      <c r="G122" s="18"/>
      <c r="H122" s="18"/>
    </row>
    <row r="123" spans="1:18" customHeight="1" ht="18">
      <c r="A123" s="24" t="s">
        <v>59</v>
      </c>
      <c r="B123" s="24"/>
      <c r="C123" s="44"/>
      <c r="D123" s="18"/>
      <c r="E123" s="18"/>
      <c r="F123" s="18"/>
      <c r="G123" s="18"/>
      <c r="H123" s="18"/>
    </row>
    <row r="124" spans="1:18" customHeight="1" ht="18">
      <c r="A124" s="125" t="s">
        <v>42</v>
      </c>
      <c r="B124" s="3"/>
      <c r="C124" s="12"/>
      <c r="D124" s="35"/>
      <c r="E124" s="6"/>
      <c r="F124" s="6"/>
      <c r="G124" s="6"/>
      <c r="H124" s="6"/>
    </row>
    <row r="125" spans="1:18" customHeight="1" ht="18">
      <c r="A125" s="3" t="s">
        <v>21</v>
      </c>
      <c r="B125" s="3"/>
      <c r="C125" s="12"/>
      <c r="D125" s="35"/>
      <c r="E125" s="3"/>
      <c r="F125" s="3"/>
      <c r="G125" s="3"/>
      <c r="H125" s="3"/>
    </row>
    <row r="126" spans="1:18" customHeight="1" ht="18">
      <c r="A126" s="3" t="s">
        <v>65</v>
      </c>
      <c r="B126" s="3"/>
      <c r="C126" s="12"/>
      <c r="D126" s="3"/>
      <c r="E126" s="3"/>
      <c r="F126" s="3"/>
      <c r="G126" s="3"/>
      <c r="H126" s="3"/>
    </row>
    <row r="127" spans="1:18" customHeight="1" ht="18">
      <c r="A127" s="3" t="s">
        <v>11</v>
      </c>
      <c r="B127" s="3"/>
      <c r="C127" s="12"/>
      <c r="D127" s="35"/>
      <c r="E127" s="3"/>
      <c r="F127" s="3"/>
      <c r="G127" s="3"/>
      <c r="H127" s="3"/>
    </row>
    <row r="128" spans="1:18" customHeight="1" ht="18">
      <c r="A128" s="3" t="s">
        <v>21</v>
      </c>
      <c r="B128" s="3"/>
      <c r="C128" s="12"/>
      <c r="D128" s="35"/>
      <c r="E128" s="3"/>
      <c r="F128" s="3"/>
      <c r="G128" s="3"/>
      <c r="H128" s="3"/>
    </row>
    <row r="129" spans="1:18" customHeight="1" ht="18">
      <c r="A129" s="3" t="s">
        <v>71</v>
      </c>
      <c r="B129" s="3"/>
      <c r="C129" s="12"/>
      <c r="D129" s="3"/>
      <c r="E129" s="3"/>
      <c r="F129" s="3"/>
      <c r="G129" s="3"/>
      <c r="H129" s="3"/>
    </row>
    <row r="130" spans="1:18" customHeight="1" ht="18">
      <c r="A130" s="125" t="s">
        <v>42</v>
      </c>
      <c r="B130" s="33"/>
      <c r="C130" s="54"/>
      <c r="D130" s="36"/>
      <c r="E130" s="10"/>
      <c r="F130" s="10"/>
      <c r="G130" s="10"/>
      <c r="H130" s="18"/>
    </row>
    <row r="131" spans="1:18" customHeight="1" ht="18">
      <c r="A131" s="3" t="s">
        <v>21</v>
      </c>
      <c r="B131" s="145"/>
      <c r="C131" s="12"/>
      <c r="D131" s="35"/>
      <c r="E131" s="3"/>
      <c r="F131" s="3"/>
      <c r="G131" s="3"/>
      <c r="H131" s="3"/>
    </row>
    <row r="132" spans="1:18" customHeight="1" ht="18">
      <c r="A132" s="125" t="s">
        <v>75</v>
      </c>
      <c r="B132" s="145"/>
      <c r="C132" s="12"/>
      <c r="D132" s="125"/>
      <c r="E132" s="3"/>
      <c r="F132" s="3"/>
      <c r="G132" s="3"/>
      <c r="H132" s="3"/>
    </row>
    <row r="133" spans="1:18" customHeight="1" ht="18">
      <c r="A133" s="3" t="s">
        <v>42</v>
      </c>
      <c r="B133" s="126"/>
      <c r="C133" s="117"/>
      <c r="D133" s="35"/>
      <c r="E133" s="3"/>
      <c r="F133" s="3"/>
      <c r="G133" s="3"/>
      <c r="H133" s="3"/>
    </row>
    <row r="134" spans="1:18" customHeight="1" ht="15.75">
      <c r="A134" s="47"/>
      <c r="B134" s="100"/>
      <c r="C134" s="50"/>
      <c r="D134" s="35"/>
      <c r="E134" s="3"/>
      <c r="F134" s="3"/>
      <c r="G134" s="3"/>
      <c r="H134" s="3"/>
    </row>
    <row r="135" spans="1:18" customHeight="1" ht="15.75">
      <c r="A135" s="3" t="s">
        <v>21</v>
      </c>
      <c r="B135" s="145"/>
      <c r="C135" s="12"/>
      <c r="D135" s="35"/>
      <c r="E135" s="3"/>
      <c r="F135" s="3"/>
      <c r="G135" s="3"/>
      <c r="H135" s="3"/>
    </row>
    <row r="136" spans="1:18" customHeight="1" ht="15.75">
      <c r="A136" s="45"/>
      <c r="B136" s="9"/>
      <c r="C136" s="50"/>
      <c r="D136" s="35"/>
      <c r="E136" s="5">
        <f>E127+E135</f>
        <v>0</v>
      </c>
      <c r="F136" s="5">
        <f>F127+F135</f>
        <v>0</v>
      </c>
      <c r="G136" s="5">
        <f>G127+G135</f>
        <v>0</v>
      </c>
      <c r="H136" s="5">
        <f>H127+H135</f>
        <v>0</v>
      </c>
    </row>
    <row r="137" spans="1:18" customHeight="1" ht="63">
      <c r="A137" s="3" t="s">
        <v>79</v>
      </c>
      <c r="B137" s="3"/>
      <c r="C137" s="12"/>
      <c r="D137" s="3"/>
      <c r="E137" s="3"/>
      <c r="F137" s="3"/>
      <c r="G137" s="3"/>
      <c r="H137" s="3"/>
    </row>
    <row r="138" spans="1:18" customHeight="1" ht="15.75">
      <c r="A138" s="3" t="s">
        <v>42</v>
      </c>
      <c r="B138" s="125"/>
      <c r="C138" s="54"/>
      <c r="D138" s="35"/>
      <c r="E138" s="3"/>
      <c r="F138" s="3"/>
      <c r="G138" s="3"/>
      <c r="H138" s="3"/>
    </row>
    <row r="139" spans="1:18" customHeight="1" ht="15.75">
      <c r="A139" s="3" t="s">
        <v>21</v>
      </c>
      <c r="B139" s="125"/>
      <c r="C139" s="54"/>
      <c r="D139" s="35"/>
      <c r="E139" s="3"/>
      <c r="F139" s="3"/>
      <c r="G139" s="3"/>
      <c r="H139" s="3"/>
    </row>
    <row r="140" spans="1:18" customHeight="1" ht="15.75">
      <c r="E140" s="18"/>
      <c r="F140" s="18"/>
      <c r="G140" s="18"/>
      <c r="H140" s="18"/>
    </row>
    <row r="141" spans="1:18" customHeight="1" ht="15">
      <c r="E141" s="40"/>
      <c r="F141" s="40"/>
      <c r="G141" s="40"/>
      <c r="H141" s="40"/>
    </row>
    <row r="142" spans="1:18" customHeight="1" ht="15">
      <c r="E142" s="114"/>
      <c r="F142" s="114"/>
      <c r="G142" s="11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39"/>
  <sheetViews>
    <sheetView tabSelected="0" workbookViewId="0" showGridLines="true" showRowColHeaders="1">
      <selection activeCell="F183" sqref="F183"/>
    </sheetView>
  </sheetViews>
  <sheetFormatPr customHeight="true" defaultRowHeight="15" defaultColWidth="9.140625" outlineLevelRow="0" outlineLevelCol="0"/>
  <cols>
    <col min="1" max="1" width="10" customWidth="true" style="43"/>
    <col min="2" max="2" width="57" customWidth="true" style="11"/>
    <col min="3" max="3" width="9.5703125" customWidth="true" style="55"/>
    <col min="4" max="4" width="9.5703125" customWidth="true" style="40"/>
    <col min="5" max="5" width="9.140625" style="11"/>
    <col min="6" max="6" width="9.5703125" customWidth="true" style="11"/>
  </cols>
  <sheetData>
    <row r="1" spans="1:6" customHeight="1" ht="15">
      <c r="A1" s="127"/>
      <c r="B1" s="141" t="s">
        <v>83</v>
      </c>
      <c r="C1" s="141"/>
      <c r="D1" s="184"/>
    </row>
    <row r="2" spans="1:6" customHeight="1" ht="47.25">
      <c r="A2" s="135" t="s">
        <v>1</v>
      </c>
      <c r="B2" s="142" t="s">
        <v>2</v>
      </c>
      <c r="C2" s="169" t="s">
        <v>3</v>
      </c>
      <c r="D2" s="189" t="s">
        <v>4</v>
      </c>
    </row>
    <row r="3" spans="1:6" customHeight="1" ht="15.75">
      <c r="A3" s="136">
        <v>158</v>
      </c>
      <c r="B3" s="149" t="s">
        <v>46</v>
      </c>
      <c r="C3" s="170">
        <v>90</v>
      </c>
      <c r="D3" s="190">
        <f>35.52+0.6</f>
        <v>36.12</v>
      </c>
    </row>
    <row r="4" spans="1:6" customHeight="1" ht="15.75">
      <c r="A4" s="134">
        <v>136</v>
      </c>
      <c r="B4" s="123" t="s">
        <v>80</v>
      </c>
      <c r="C4" s="167">
        <v>100</v>
      </c>
      <c r="D4" s="188">
        <f>46.02+1.19</f>
        <v>47.21</v>
      </c>
    </row>
    <row r="5" spans="1:6" customHeight="1" ht="15">
      <c r="A5" s="134">
        <v>107</v>
      </c>
      <c r="B5" s="123" t="s">
        <v>51</v>
      </c>
      <c r="C5" s="167">
        <v>90</v>
      </c>
      <c r="D5" s="124">
        <f>28.39-0.35+8+1.58-6.35+3.88-4.21+3.19</f>
        <v>34.13</v>
      </c>
      <c r="E5" s="8"/>
      <c r="F5" s="8"/>
    </row>
    <row r="6" spans="1:6" customHeight="1" ht="15">
      <c r="A6" s="134">
        <v>55</v>
      </c>
      <c r="B6" s="147" t="s">
        <v>50</v>
      </c>
      <c r="C6" s="167">
        <v>220</v>
      </c>
      <c r="D6" s="188">
        <v>16.25</v>
      </c>
      <c r="E6" s="8"/>
      <c r="F6" s="8"/>
    </row>
    <row r="7" spans="1:6" customHeight="1" ht="33">
      <c r="A7" s="140">
        <v>55</v>
      </c>
      <c r="B7" s="158" t="s">
        <v>50</v>
      </c>
      <c r="C7" s="181">
        <v>220</v>
      </c>
      <c r="D7" s="194">
        <v>16.25</v>
      </c>
    </row>
    <row r="8" spans="1:6" customHeight="1" ht="18.75">
      <c r="A8" s="101" t="s">
        <v>29</v>
      </c>
      <c r="B8" s="155" t="s">
        <v>44</v>
      </c>
      <c r="C8" s="164">
        <v>50</v>
      </c>
      <c r="D8" s="193">
        <v>27.7</v>
      </c>
    </row>
    <row r="9" spans="1:6" customHeight="1" ht="18">
      <c r="A9" s="101" t="s">
        <v>68</v>
      </c>
      <c r="B9" s="161" t="s">
        <v>69</v>
      </c>
      <c r="C9" s="183">
        <v>90</v>
      </c>
      <c r="D9" s="193">
        <f>45.64+3.19</f>
        <v>48.83</v>
      </c>
      <c r="E9" s="8"/>
      <c r="F9" s="8"/>
    </row>
    <row r="10" spans="1:6" customHeight="1" ht="18">
      <c r="A10" s="45">
        <v>110</v>
      </c>
      <c r="B10" s="93" t="s">
        <v>72</v>
      </c>
      <c r="C10" s="56">
        <v>90</v>
      </c>
      <c r="D10" s="21">
        <f>49.46+0.02+2</f>
        <v>51.48</v>
      </c>
      <c r="E10" s="8"/>
      <c r="F10" s="8"/>
    </row>
    <row r="11" spans="1:6" customHeight="1" ht="18">
      <c r="A11" s="45">
        <v>259</v>
      </c>
      <c r="B11" s="25" t="s">
        <v>58</v>
      </c>
      <c r="C11" s="56">
        <v>220</v>
      </c>
      <c r="D11" s="21">
        <f>52.57+2.83</f>
        <v>55.4</v>
      </c>
    </row>
    <row r="12" spans="1:6" customHeight="1" ht="18">
      <c r="A12" s="45">
        <v>96</v>
      </c>
      <c r="B12" s="25" t="s">
        <v>74</v>
      </c>
      <c r="C12" s="57">
        <v>60</v>
      </c>
      <c r="D12" s="21">
        <v>7.2</v>
      </c>
      <c r="E12" s="8"/>
      <c r="F12" s="8"/>
    </row>
    <row r="13" spans="1:6" customHeight="1" ht="30">
      <c r="A13" s="137"/>
      <c r="B13" s="150" t="s">
        <v>15</v>
      </c>
      <c r="C13" s="171">
        <v>95</v>
      </c>
      <c r="D13" s="187">
        <v>40.3</v>
      </c>
    </row>
    <row r="14" spans="1:6" customHeight="1" ht="15.75">
      <c r="A14" s="128">
        <v>146</v>
      </c>
      <c r="B14" s="152" t="s">
        <v>47</v>
      </c>
      <c r="C14" s="182">
        <v>150</v>
      </c>
      <c r="D14" s="192">
        <v>14.88</v>
      </c>
    </row>
    <row r="15" spans="1:6" customHeight="1" ht="18">
      <c r="A15" s="45">
        <v>227</v>
      </c>
      <c r="B15" s="1" t="s">
        <v>151</v>
      </c>
      <c r="C15" s="57">
        <v>150</v>
      </c>
      <c r="D15" s="214">
        <v>9.49</v>
      </c>
      <c r="E15" s="11" t="s">
        <v>152</v>
      </c>
    </row>
    <row r="16" spans="1:6" customHeight="1" ht="18">
      <c r="A16" s="45">
        <v>227</v>
      </c>
      <c r="B16" s="1" t="s">
        <v>52</v>
      </c>
      <c r="C16" s="57">
        <v>150</v>
      </c>
      <c r="D16" s="41">
        <v>11.49</v>
      </c>
      <c r="E16" s="8"/>
      <c r="F16" s="8"/>
    </row>
    <row r="17" spans="1:6" customHeight="1" ht="18">
      <c r="A17" s="45">
        <v>227</v>
      </c>
      <c r="B17" s="1" t="s">
        <v>52</v>
      </c>
      <c r="C17" s="57">
        <v>150</v>
      </c>
      <c r="D17" s="21">
        <v>11.49</v>
      </c>
    </row>
    <row r="18" spans="1:6" customHeight="1" ht="18">
      <c r="A18" s="45"/>
      <c r="B18" s="4" t="s">
        <v>12</v>
      </c>
      <c r="C18" s="118" t="s">
        <v>13</v>
      </c>
      <c r="D18" s="41">
        <v>21.14</v>
      </c>
    </row>
    <row r="19" spans="1:6" customHeight="1" ht="18">
      <c r="A19" s="45">
        <v>208</v>
      </c>
      <c r="B19" s="4" t="s">
        <v>43</v>
      </c>
      <c r="C19" s="51">
        <v>200</v>
      </c>
      <c r="D19" s="41">
        <v>29.11</v>
      </c>
    </row>
    <row r="20" spans="1:6" customHeight="1" ht="18">
      <c r="A20" s="92">
        <v>208</v>
      </c>
      <c r="B20" s="155" t="s">
        <v>60</v>
      </c>
      <c r="C20" s="176" t="s">
        <v>149</v>
      </c>
      <c r="D20" s="192">
        <v>37.09</v>
      </c>
    </row>
    <row r="21" spans="1:6" customHeight="1" ht="18">
      <c r="A21" s="45">
        <v>300</v>
      </c>
      <c r="B21" s="76" t="s">
        <v>53</v>
      </c>
      <c r="C21" s="51">
        <v>200</v>
      </c>
      <c r="D21" s="21">
        <v>7.73</v>
      </c>
    </row>
    <row r="22" spans="1:6" customHeight="1" ht="18">
      <c r="A22" s="45">
        <v>300</v>
      </c>
      <c r="B22" s="76" t="s">
        <v>26</v>
      </c>
      <c r="C22" s="51">
        <v>200</v>
      </c>
      <c r="D22" s="21">
        <v>7.73</v>
      </c>
    </row>
    <row r="23" spans="1:6" customHeight="1" ht="18">
      <c r="A23" s="45">
        <v>300</v>
      </c>
      <c r="B23" s="76" t="s">
        <v>26</v>
      </c>
      <c r="C23" s="51">
        <v>200</v>
      </c>
      <c r="D23" s="21">
        <v>7.73</v>
      </c>
      <c r="E23" s="8"/>
      <c r="F23" s="8"/>
    </row>
    <row r="24" spans="1:6" customHeight="1" ht="18" s="8" customFormat="1">
      <c r="A24" s="45">
        <v>300</v>
      </c>
      <c r="B24" s="105" t="s">
        <v>26</v>
      </c>
      <c r="C24" s="51">
        <v>200</v>
      </c>
      <c r="D24" s="21">
        <v>7.73</v>
      </c>
      <c r="E24" s="11"/>
      <c r="F24" s="11"/>
    </row>
    <row r="25" spans="1:6" customHeight="1" ht="18" s="8" customFormat="1">
      <c r="A25" s="45">
        <v>300</v>
      </c>
      <c r="B25" s="25" t="s">
        <v>40</v>
      </c>
      <c r="C25" s="51">
        <v>200</v>
      </c>
      <c r="D25" s="21">
        <v>7.09</v>
      </c>
      <c r="E25" s="11"/>
      <c r="F25" s="11"/>
    </row>
    <row r="26" spans="1:6" customHeight="1" ht="18" s="8" customFormat="1">
      <c r="A26" s="45">
        <v>300</v>
      </c>
      <c r="B26" s="25" t="s">
        <v>40</v>
      </c>
      <c r="C26" s="51">
        <v>200</v>
      </c>
      <c r="D26" s="21">
        <v>7.09</v>
      </c>
    </row>
    <row r="27" spans="1:6" customHeight="1" ht="18">
      <c r="A27" s="45" t="s">
        <v>18</v>
      </c>
      <c r="B27" s="27" t="s">
        <v>35</v>
      </c>
      <c r="C27" s="30">
        <v>60</v>
      </c>
      <c r="D27" s="41">
        <v>13.63</v>
      </c>
    </row>
    <row r="28" spans="1:6" customHeight="1" ht="18">
      <c r="A28" s="45" t="s">
        <v>18</v>
      </c>
      <c r="B28" s="27" t="s">
        <v>35</v>
      </c>
      <c r="C28" s="30">
        <v>60</v>
      </c>
      <c r="D28" s="41">
        <f>13.63+0.35</f>
        <v>13.98</v>
      </c>
    </row>
    <row r="29" spans="1:6" customHeight="1" ht="18">
      <c r="A29" s="131" t="s">
        <v>18</v>
      </c>
      <c r="B29" s="146" t="s">
        <v>35</v>
      </c>
      <c r="C29" s="165">
        <v>30</v>
      </c>
      <c r="D29" s="187">
        <v>13.63</v>
      </c>
    </row>
    <row r="30" spans="1:6" customHeight="1" ht="18">
      <c r="A30" s="128" t="s">
        <v>18</v>
      </c>
      <c r="B30" s="157" t="s">
        <v>35</v>
      </c>
      <c r="C30" s="178">
        <v>50</v>
      </c>
      <c r="D30" s="192">
        <f>9.95+3.19</f>
        <v>13.14</v>
      </c>
      <c r="E30" s="8"/>
      <c r="F30" s="8"/>
    </row>
    <row r="31" spans="1:6" customHeight="1" ht="18">
      <c r="A31" s="48" t="s">
        <v>38</v>
      </c>
      <c r="B31" s="2" t="s">
        <v>35</v>
      </c>
      <c r="C31" s="97">
        <v>20</v>
      </c>
      <c r="D31" s="21">
        <v>12.02</v>
      </c>
    </row>
    <row r="32" spans="1:6" customHeight="1" ht="18">
      <c r="A32" s="45" t="s">
        <v>18</v>
      </c>
      <c r="B32" s="14" t="s">
        <v>67</v>
      </c>
      <c r="C32" s="177">
        <v>50</v>
      </c>
      <c r="D32" s="41">
        <f>9.95+3.19</f>
        <v>13.14</v>
      </c>
    </row>
    <row r="33" spans="1:6" customHeight="1" ht="18" s="8" customFormat="1">
      <c r="A33" s="45">
        <v>108</v>
      </c>
      <c r="B33" s="93" t="s">
        <v>78</v>
      </c>
      <c r="C33" s="175">
        <v>90</v>
      </c>
      <c r="D33" s="21">
        <f>44.15-5.55+0.48+2.45-10.27+7.38+1.32</f>
        <v>39.96</v>
      </c>
      <c r="E33" s="11"/>
      <c r="F33" s="11"/>
    </row>
    <row r="34" spans="1:6" customHeight="1" ht="18">
      <c r="A34" s="45">
        <v>227</v>
      </c>
      <c r="B34" s="93" t="s">
        <v>153</v>
      </c>
      <c r="C34" s="56">
        <v>150</v>
      </c>
      <c r="D34" s="214">
        <v>6</v>
      </c>
      <c r="E34" s="8" t="s">
        <v>152</v>
      </c>
      <c r="F34" s="8"/>
    </row>
    <row r="35" spans="1:6" customHeight="1" ht="18">
      <c r="A35" s="45">
        <v>227</v>
      </c>
      <c r="B35" s="93" t="s">
        <v>70</v>
      </c>
      <c r="C35" s="56">
        <v>150</v>
      </c>
      <c r="D35" s="41">
        <f>6+3.19</f>
        <v>9.19</v>
      </c>
    </row>
    <row r="36" spans="1:6" customHeight="1" ht="15.75">
      <c r="A36" s="92" t="s">
        <v>18</v>
      </c>
      <c r="B36" s="14" t="s">
        <v>19</v>
      </c>
      <c r="C36" s="30">
        <v>30</v>
      </c>
      <c r="D36" s="41">
        <v>6.81</v>
      </c>
    </row>
    <row r="37" spans="1:6" customHeight="1" ht="18" s="8" customFormat="1">
      <c r="A37" s="45">
        <v>311</v>
      </c>
      <c r="B37" s="13" t="s">
        <v>64</v>
      </c>
      <c r="C37" s="30">
        <v>200</v>
      </c>
      <c r="D37" s="21">
        <f>5.73+0.31+1.19</f>
        <v>7.23</v>
      </c>
      <c r="E37" s="11"/>
      <c r="F37" s="11"/>
    </row>
    <row r="38" spans="1:6" customHeight="1" ht="18" s="8" customFormat="1">
      <c r="A38" s="92" t="s">
        <v>38</v>
      </c>
      <c r="B38" s="25" t="s">
        <v>39</v>
      </c>
      <c r="C38" s="51">
        <v>60</v>
      </c>
      <c r="D38" s="41">
        <v>6.3</v>
      </c>
      <c r="E38" s="11"/>
      <c r="F38" s="11"/>
    </row>
    <row r="39" spans="1:6" customHeight="1" ht="18">
      <c r="A39" s="92" t="s">
        <v>18</v>
      </c>
      <c r="B39" s="14" t="s">
        <v>39</v>
      </c>
      <c r="C39" s="51">
        <v>60</v>
      </c>
      <c r="D39" s="96">
        <v>7</v>
      </c>
    </row>
    <row r="40" spans="1:6" customHeight="1" ht="18">
      <c r="A40" s="45">
        <v>258</v>
      </c>
      <c r="B40" s="4" t="s">
        <v>76</v>
      </c>
      <c r="C40" s="51">
        <v>150</v>
      </c>
      <c r="D40" s="41">
        <f>29.8+7.65</f>
        <v>37.45</v>
      </c>
    </row>
    <row r="41" spans="1:6" customHeight="1" ht="18">
      <c r="A41" s="92">
        <v>234</v>
      </c>
      <c r="B41" s="2" t="s">
        <v>32</v>
      </c>
      <c r="C41" s="56">
        <v>115</v>
      </c>
      <c r="D41" s="21">
        <v>42.34</v>
      </c>
    </row>
    <row r="42" spans="1:6" customHeight="1" ht="18">
      <c r="A42" s="45">
        <v>158</v>
      </c>
      <c r="B42" s="25" t="s">
        <v>37</v>
      </c>
      <c r="C42" s="57">
        <v>220</v>
      </c>
      <c r="D42" s="41">
        <f>19.54+3.5+10.48+0.96+6.63+3.19</f>
        <v>44.3</v>
      </c>
    </row>
    <row r="43" spans="1:6" customHeight="1" ht="18">
      <c r="A43" s="45">
        <v>158</v>
      </c>
      <c r="B43" s="13" t="s">
        <v>37</v>
      </c>
      <c r="C43" s="57">
        <v>220</v>
      </c>
      <c r="D43" s="41">
        <f>41.11+3.19</f>
        <v>44.3</v>
      </c>
      <c r="E43" s="8"/>
      <c r="F43" s="8"/>
    </row>
    <row r="44" spans="1:6" customHeight="1" ht="18">
      <c r="A44" s="131">
        <v>65</v>
      </c>
      <c r="B44" s="159" t="s">
        <v>57</v>
      </c>
      <c r="C44" s="165">
        <v>250</v>
      </c>
      <c r="D44" s="191">
        <v>12.11</v>
      </c>
    </row>
    <row r="45" spans="1:6" customHeight="1" ht="18">
      <c r="A45" s="128">
        <v>65</v>
      </c>
      <c r="B45" s="152" t="s">
        <v>57</v>
      </c>
      <c r="C45" s="173">
        <v>230</v>
      </c>
      <c r="D45" s="192">
        <v>10.81</v>
      </c>
    </row>
    <row r="46" spans="1:6" customHeight="1" ht="18">
      <c r="A46" s="101" t="s">
        <v>24</v>
      </c>
      <c r="B46" s="1" t="s">
        <v>154</v>
      </c>
      <c r="C46" s="179">
        <v>150</v>
      </c>
      <c r="D46" s="215">
        <f>18.37/180*150-6.82</f>
        <v>8.4883333333333</v>
      </c>
      <c r="E46" s="11" t="s">
        <v>152</v>
      </c>
    </row>
    <row r="47" spans="1:6" customHeight="1" ht="18">
      <c r="A47" s="101" t="s">
        <v>24</v>
      </c>
      <c r="B47" s="1" t="s">
        <v>25</v>
      </c>
      <c r="C47" s="57">
        <v>180</v>
      </c>
      <c r="D47" s="41">
        <f>15.18+3.19</f>
        <v>18.37</v>
      </c>
    </row>
    <row r="48" spans="1:6" customHeight="1" ht="18">
      <c r="A48" s="48" t="s">
        <v>24</v>
      </c>
      <c r="B48" s="4" t="s">
        <v>25</v>
      </c>
      <c r="C48" s="29">
        <v>180</v>
      </c>
      <c r="D48" s="41">
        <f>15.18+3.19</f>
        <v>18.37</v>
      </c>
    </row>
    <row r="49" spans="1:6" customHeight="1" ht="18">
      <c r="A49" s="45">
        <v>227</v>
      </c>
      <c r="B49" s="93" t="s">
        <v>56</v>
      </c>
      <c r="C49" s="99">
        <v>150</v>
      </c>
      <c r="D49" s="41">
        <v>14.61</v>
      </c>
    </row>
    <row r="50" spans="1:6" customHeight="1" ht="18">
      <c r="A50" s="45">
        <v>227</v>
      </c>
      <c r="B50" s="25" t="s">
        <v>56</v>
      </c>
      <c r="C50" s="56">
        <v>180</v>
      </c>
      <c r="D50" s="41">
        <f>14.61/150*180</f>
        <v>17.532</v>
      </c>
    </row>
    <row r="51" spans="1:6" customHeight="1" ht="18">
      <c r="A51" s="45">
        <v>65</v>
      </c>
      <c r="B51" s="1" t="s">
        <v>22</v>
      </c>
      <c r="C51" s="30">
        <v>200</v>
      </c>
      <c r="D51" s="21">
        <v>9.75</v>
      </c>
    </row>
    <row r="52" spans="1:6" customHeight="1" ht="18">
      <c r="A52" s="92">
        <v>55</v>
      </c>
      <c r="B52" s="160" t="s">
        <v>45</v>
      </c>
      <c r="C52" s="97">
        <v>200</v>
      </c>
      <c r="D52" s="192">
        <v>12.75</v>
      </c>
    </row>
    <row r="53" spans="1:6" customHeight="1" ht="18">
      <c r="A53" s="45">
        <v>55</v>
      </c>
      <c r="B53" s="20" t="s">
        <v>45</v>
      </c>
      <c r="C53" s="62">
        <v>200</v>
      </c>
      <c r="D53" s="38">
        <v>12.75</v>
      </c>
    </row>
    <row r="54" spans="1:6" customHeight="1" ht="18">
      <c r="A54" s="111">
        <v>56</v>
      </c>
      <c r="B54" s="87" t="s">
        <v>73</v>
      </c>
      <c r="C54" s="112">
        <v>210</v>
      </c>
      <c r="D54" s="21">
        <f>17.88-5.63</f>
        <v>12.25</v>
      </c>
    </row>
    <row r="55" spans="1:6" customHeight="1" ht="18" s="8" customFormat="1">
      <c r="A55" s="45">
        <v>241</v>
      </c>
      <c r="B55" s="27" t="s">
        <v>66</v>
      </c>
      <c r="C55" s="51">
        <v>130</v>
      </c>
      <c r="D55" s="108">
        <f>37.6-0.35+0.02</f>
        <v>37.27</v>
      </c>
      <c r="E55" s="11"/>
      <c r="F55" s="11"/>
    </row>
    <row r="56" spans="1:6" customHeight="1" ht="18" s="8" customFormat="1">
      <c r="A56" s="45">
        <v>110</v>
      </c>
      <c r="B56" s="93" t="s">
        <v>55</v>
      </c>
      <c r="C56" s="56">
        <v>100</v>
      </c>
      <c r="D56" s="21">
        <f>40.65+4.6-3.12</f>
        <v>42.13</v>
      </c>
      <c r="E56" s="11"/>
      <c r="F56" s="11"/>
    </row>
    <row r="57" spans="1:6" customHeight="1" ht="18">
      <c r="A57" s="45">
        <v>110</v>
      </c>
      <c r="B57" s="1" t="s">
        <v>81</v>
      </c>
      <c r="C57" s="29">
        <v>90</v>
      </c>
      <c r="D57" s="21">
        <f>40.96+8.12+2</f>
        <v>51.08</v>
      </c>
    </row>
    <row r="58" spans="1:6" customHeight="1" ht="18">
      <c r="A58" s="45">
        <v>96</v>
      </c>
      <c r="B58" s="1" t="s">
        <v>49</v>
      </c>
      <c r="C58" s="29">
        <v>90</v>
      </c>
      <c r="D58" s="21">
        <v>52.35</v>
      </c>
    </row>
    <row r="59" spans="1:6" customHeight="1" ht="18">
      <c r="A59" s="131">
        <v>97</v>
      </c>
      <c r="B59" s="151" t="s">
        <v>23</v>
      </c>
      <c r="C59" s="172">
        <v>90</v>
      </c>
      <c r="D59" s="191">
        <f>50.35-14+5-0.41+0.59-1.21+2+3.19</f>
        <v>45.51</v>
      </c>
    </row>
    <row r="60" spans="1:6" customHeight="1" ht="18">
      <c r="A60" s="128">
        <v>107</v>
      </c>
      <c r="B60" s="154" t="s">
        <v>63</v>
      </c>
      <c r="C60" s="173">
        <v>90</v>
      </c>
      <c r="D60" s="186">
        <f>36.51+3.12+2.22</f>
        <v>41.85</v>
      </c>
    </row>
    <row r="61" spans="1:6" customHeight="1" ht="18">
      <c r="A61" s="45" t="s">
        <v>18</v>
      </c>
      <c r="B61" s="14" t="s">
        <v>34</v>
      </c>
      <c r="C61" s="30">
        <v>100</v>
      </c>
      <c r="D61" s="41">
        <f>11.56+3.19</f>
        <v>14.75</v>
      </c>
      <c r="E61" s="8"/>
      <c r="F61" s="8"/>
    </row>
    <row r="62" spans="1:6" customHeight="1" ht="18">
      <c r="A62" s="45" t="s">
        <v>18</v>
      </c>
      <c r="B62" s="14" t="s">
        <v>34</v>
      </c>
      <c r="C62" s="30">
        <v>100</v>
      </c>
      <c r="D62" s="41">
        <f>13.841666666667+3.19</f>
        <v>17.031666666667</v>
      </c>
    </row>
    <row r="63" spans="1:6" customHeight="1" ht="15.75">
      <c r="A63" s="45" t="s">
        <v>18</v>
      </c>
      <c r="B63" s="14" t="s">
        <v>34</v>
      </c>
      <c r="C63" s="30">
        <v>100</v>
      </c>
      <c r="D63" s="41">
        <f>17.03+2.97</f>
        <v>20</v>
      </c>
    </row>
    <row r="64" spans="1:6" customHeight="1" ht="15.75">
      <c r="A64" s="45" t="s">
        <v>18</v>
      </c>
      <c r="B64" s="14" t="s">
        <v>34</v>
      </c>
      <c r="C64" s="30">
        <v>120</v>
      </c>
      <c r="D64" s="108">
        <f>30.23/130*110-2.15</f>
        <v>23.429230769231</v>
      </c>
    </row>
    <row r="65" spans="1:6" customHeight="1" ht="18">
      <c r="A65" s="45" t="s">
        <v>18</v>
      </c>
      <c r="B65" s="25" t="s">
        <v>77</v>
      </c>
      <c r="C65" s="51">
        <v>100</v>
      </c>
      <c r="D65" s="21">
        <v>23.25</v>
      </c>
    </row>
    <row r="66" spans="1:6" customHeight="1" ht="18">
      <c r="A66" s="45"/>
      <c r="B66" s="4" t="s">
        <v>14</v>
      </c>
      <c r="C66" s="51">
        <v>30</v>
      </c>
      <c r="D66" s="21">
        <v>3.12</v>
      </c>
    </row>
    <row r="67" spans="1:6" customHeight="1" ht="18">
      <c r="A67" s="101" t="s">
        <v>29</v>
      </c>
      <c r="B67" s="155" t="s">
        <v>14</v>
      </c>
      <c r="C67" s="164">
        <v>30</v>
      </c>
      <c r="D67" s="186">
        <v>3.12</v>
      </c>
      <c r="E67" s="8"/>
      <c r="F67" s="8"/>
    </row>
    <row r="68" spans="1:6" customHeight="1" ht="18">
      <c r="A68" s="48" t="s">
        <v>29</v>
      </c>
      <c r="B68" s="4" t="s">
        <v>155</v>
      </c>
      <c r="C68" s="51">
        <v>40</v>
      </c>
      <c r="D68" s="216">
        <v>3.12</v>
      </c>
      <c r="E68" s="11" t="s">
        <v>152</v>
      </c>
    </row>
    <row r="69" spans="1:6" customHeight="1" ht="18">
      <c r="A69" s="48" t="s">
        <v>29</v>
      </c>
      <c r="B69" s="4" t="s">
        <v>14</v>
      </c>
      <c r="C69" s="168">
        <v>40</v>
      </c>
      <c r="D69" s="21">
        <f>3.12/30*40</f>
        <v>4.16</v>
      </c>
      <c r="E69" s="8"/>
      <c r="F69" s="8"/>
    </row>
    <row r="70" spans="1:6" customHeight="1" ht="18" s="8" customFormat="1">
      <c r="A70" s="48" t="s">
        <v>29</v>
      </c>
      <c r="B70" s="4" t="s">
        <v>14</v>
      </c>
      <c r="C70" s="51">
        <v>30</v>
      </c>
      <c r="D70" s="21">
        <v>3.12</v>
      </c>
    </row>
    <row r="71" spans="1:6" customHeight="1" ht="18">
      <c r="A71" s="48" t="s">
        <v>29</v>
      </c>
      <c r="B71" s="4" t="s">
        <v>14</v>
      </c>
      <c r="C71" s="51">
        <v>30</v>
      </c>
      <c r="D71" s="21">
        <v>3.12</v>
      </c>
    </row>
    <row r="72" spans="1:6" customHeight="1" ht="18">
      <c r="A72" s="48" t="s">
        <v>29</v>
      </c>
      <c r="B72" s="4" t="s">
        <v>14</v>
      </c>
      <c r="C72" s="51">
        <v>30</v>
      </c>
      <c r="D72" s="21">
        <v>3.12</v>
      </c>
    </row>
    <row r="73" spans="1:6" customHeight="1" ht="18">
      <c r="A73" s="48" t="s">
        <v>29</v>
      </c>
      <c r="B73" s="4" t="s">
        <v>14</v>
      </c>
      <c r="C73" s="51">
        <v>30</v>
      </c>
      <c r="D73" s="21">
        <v>3.12</v>
      </c>
    </row>
    <row r="74" spans="1:6" customHeight="1" ht="18">
      <c r="A74" s="48" t="s">
        <v>29</v>
      </c>
      <c r="B74" s="4" t="s">
        <v>14</v>
      </c>
      <c r="C74" s="51">
        <v>45</v>
      </c>
      <c r="D74" s="21">
        <v>4.83</v>
      </c>
      <c r="F74" s="114"/>
    </row>
    <row r="75" spans="1:6" customHeight="1" ht="18">
      <c r="A75" s="138" t="s">
        <v>29</v>
      </c>
      <c r="B75" s="150" t="s">
        <v>14</v>
      </c>
      <c r="C75" s="171">
        <v>30</v>
      </c>
      <c r="D75" s="191">
        <v>3.12</v>
      </c>
    </row>
    <row r="76" spans="1:6" customHeight="1" ht="39.75">
      <c r="A76" s="129" t="s">
        <v>29</v>
      </c>
      <c r="B76" s="143" t="s">
        <v>14</v>
      </c>
      <c r="C76" s="163">
        <v>30</v>
      </c>
      <c r="D76" s="186">
        <v>3.12</v>
      </c>
    </row>
    <row r="77" spans="1:6" customHeight="1" ht="15.75">
      <c r="A77" s="48" t="s">
        <v>27</v>
      </c>
      <c r="B77" s="4" t="s">
        <v>28</v>
      </c>
      <c r="C77" s="51">
        <v>30</v>
      </c>
      <c r="D77" s="21">
        <v>2.76</v>
      </c>
      <c r="E77" s="8"/>
      <c r="F77" s="8"/>
    </row>
    <row r="78" spans="1:6" customHeight="1" ht="18">
      <c r="A78" s="48" t="s">
        <v>27</v>
      </c>
      <c r="B78" s="4" t="s">
        <v>28</v>
      </c>
      <c r="C78" s="51">
        <v>30</v>
      </c>
      <c r="D78" s="21">
        <v>2.76</v>
      </c>
      <c r="E78" s="8"/>
      <c r="F78" s="8"/>
    </row>
    <row r="79" spans="1:6" customHeight="1" ht="18">
      <c r="A79" s="48" t="s">
        <v>27</v>
      </c>
      <c r="B79" s="4" t="s">
        <v>28</v>
      </c>
      <c r="C79" s="51">
        <v>30</v>
      </c>
      <c r="D79" s="21">
        <v>2.76</v>
      </c>
      <c r="E79" s="8"/>
      <c r="F79" s="8"/>
    </row>
    <row r="80" spans="1:6" customHeight="1" ht="18">
      <c r="A80" s="48" t="s">
        <v>27</v>
      </c>
      <c r="B80" s="4" t="s">
        <v>28</v>
      </c>
      <c r="C80" s="51">
        <v>40</v>
      </c>
      <c r="D80" s="21">
        <v>2.76</v>
      </c>
    </row>
    <row r="81" spans="1:6" customHeight="1" ht="18">
      <c r="A81" s="48" t="s">
        <v>27</v>
      </c>
      <c r="B81" s="4" t="s">
        <v>28</v>
      </c>
      <c r="C81" s="59">
        <v>30</v>
      </c>
      <c r="D81" s="21">
        <v>2.76</v>
      </c>
      <c r="E81" s="8"/>
      <c r="F81" s="8"/>
    </row>
    <row r="82" spans="1:6" customHeight="1" ht="18">
      <c r="A82" s="130" t="s">
        <v>27</v>
      </c>
      <c r="B82" s="144" t="s">
        <v>28</v>
      </c>
      <c r="C82" s="164">
        <v>40</v>
      </c>
      <c r="D82" s="186">
        <v>2.76</v>
      </c>
    </row>
    <row r="83" spans="1:6" customHeight="1" ht="18">
      <c r="A83" s="48" t="s">
        <v>27</v>
      </c>
      <c r="B83" s="4" t="s">
        <v>28</v>
      </c>
      <c r="C83" s="51">
        <v>40</v>
      </c>
      <c r="D83" s="21">
        <v>2.76</v>
      </c>
    </row>
    <row r="84" spans="1:6" customHeight="1" ht="18" s="8" customFormat="1">
      <c r="A84" s="48" t="s">
        <v>27</v>
      </c>
      <c r="B84" s="4" t="s">
        <v>28</v>
      </c>
      <c r="C84" s="51">
        <v>30</v>
      </c>
      <c r="D84" s="21">
        <v>2.76</v>
      </c>
      <c r="E84" s="11"/>
      <c r="F84" s="11"/>
    </row>
    <row r="85" spans="1:6" customHeight="1" ht="18" s="8" customFormat="1">
      <c r="A85" s="48" t="s">
        <v>27</v>
      </c>
      <c r="B85" s="148" t="s">
        <v>28</v>
      </c>
      <c r="C85" s="168">
        <v>30</v>
      </c>
      <c r="D85" s="21">
        <v>2.76</v>
      </c>
      <c r="E85" s="11"/>
      <c r="F85" s="11"/>
    </row>
    <row r="86" spans="1:6" customHeight="1" ht="18">
      <c r="A86" s="48" t="s">
        <v>27</v>
      </c>
      <c r="B86" s="4" t="s">
        <v>28</v>
      </c>
      <c r="C86" s="51">
        <v>30</v>
      </c>
      <c r="D86" s="21">
        <v>2.76</v>
      </c>
    </row>
    <row r="87" spans="1:6" customHeight="1" ht="18">
      <c r="A87" s="45">
        <v>300</v>
      </c>
      <c r="B87" s="25" t="s">
        <v>33</v>
      </c>
      <c r="C87" s="51">
        <v>200</v>
      </c>
      <c r="D87" s="21">
        <v>3.52</v>
      </c>
      <c r="E87" s="8"/>
      <c r="F87" s="8"/>
    </row>
    <row r="88" spans="1:6" customHeight="1" ht="18">
      <c r="A88" s="45">
        <v>300</v>
      </c>
      <c r="B88" s="25" t="s">
        <v>33</v>
      </c>
      <c r="C88" s="51">
        <v>200</v>
      </c>
      <c r="D88" s="21">
        <v>3.52</v>
      </c>
    </row>
    <row r="89" spans="1:6" customHeight="1" ht="18">
      <c r="A89" s="45">
        <v>300</v>
      </c>
      <c r="B89" s="25" t="s">
        <v>33</v>
      </c>
      <c r="C89" s="51">
        <v>200</v>
      </c>
      <c r="D89" s="21">
        <v>3.52</v>
      </c>
      <c r="E89" s="8"/>
      <c r="F89" s="8"/>
    </row>
    <row r="90" spans="1:6" customHeight="1" ht="18">
      <c r="A90" s="131">
        <v>300</v>
      </c>
      <c r="B90" s="156" t="s">
        <v>33</v>
      </c>
      <c r="C90" s="171">
        <v>200</v>
      </c>
      <c r="D90" s="191">
        <v>3.52</v>
      </c>
    </row>
    <row r="91" spans="1:6" customHeight="1" ht="18">
      <c r="A91" s="128">
        <v>300</v>
      </c>
      <c r="B91" s="142" t="s">
        <v>33</v>
      </c>
      <c r="C91" s="163">
        <v>200</v>
      </c>
      <c r="D91" s="185">
        <v>3.52</v>
      </c>
    </row>
    <row r="92" spans="1:6" customHeight="1" ht="18" s="8" customFormat="1">
      <c r="A92" s="45">
        <v>300</v>
      </c>
      <c r="B92" s="25" t="s">
        <v>33</v>
      </c>
      <c r="C92" s="51">
        <v>200</v>
      </c>
      <c r="D92" s="109">
        <v>3.52</v>
      </c>
      <c r="E92" s="11"/>
      <c r="F92" s="11"/>
    </row>
    <row r="93" spans="1:6" customHeight="1" ht="18">
      <c r="A93" s="45">
        <v>300</v>
      </c>
      <c r="B93" s="25" t="s">
        <v>33</v>
      </c>
      <c r="C93" s="51">
        <v>200</v>
      </c>
      <c r="D93" s="21">
        <v>3.52</v>
      </c>
    </row>
    <row r="94" spans="1:6" customHeight="1" ht="18">
      <c r="A94" s="45">
        <v>300</v>
      </c>
      <c r="B94" s="25" t="s">
        <v>33</v>
      </c>
      <c r="C94" s="51">
        <v>200</v>
      </c>
      <c r="D94" s="21">
        <v>3.52</v>
      </c>
    </row>
    <row r="95" spans="1:6" customHeight="1" ht="18">
      <c r="A95" s="45">
        <v>300</v>
      </c>
      <c r="B95" s="25" t="s">
        <v>33</v>
      </c>
      <c r="C95" s="51">
        <v>200</v>
      </c>
      <c r="D95" s="21">
        <v>3.52</v>
      </c>
    </row>
    <row r="96" spans="1:6" customHeight="1" ht="18">
      <c r="A96" s="45">
        <v>300</v>
      </c>
      <c r="B96" s="25" t="s">
        <v>33</v>
      </c>
      <c r="C96" s="51">
        <v>200</v>
      </c>
      <c r="D96" s="21">
        <v>3.52</v>
      </c>
    </row>
    <row r="97" spans="1:6" customHeight="1" ht="18">
      <c r="A97" s="92">
        <v>300</v>
      </c>
      <c r="B97" s="153" t="s">
        <v>33</v>
      </c>
      <c r="C97" s="99">
        <v>200</v>
      </c>
      <c r="D97" s="186">
        <v>3.52</v>
      </c>
    </row>
    <row r="98" spans="1:6" customHeight="1" ht="33.75">
      <c r="A98" s="45">
        <v>300</v>
      </c>
      <c r="B98" s="25" t="s">
        <v>61</v>
      </c>
      <c r="C98" s="51">
        <v>200</v>
      </c>
      <c r="D98" s="38">
        <v>3.52</v>
      </c>
    </row>
    <row r="99" spans="1:6" customHeight="1" ht="18" s="8" customFormat="1">
      <c r="A99" s="45">
        <v>300</v>
      </c>
      <c r="B99" s="25" t="s">
        <v>16</v>
      </c>
      <c r="C99" s="118" t="s">
        <v>17</v>
      </c>
      <c r="D99" s="21">
        <v>5.99</v>
      </c>
      <c r="E99" s="11"/>
      <c r="F99" s="11"/>
    </row>
    <row r="100" spans="1:6" customHeight="1" ht="18" s="8" customFormat="1">
      <c r="A100" s="45">
        <v>62</v>
      </c>
      <c r="B100" s="87" t="s">
        <v>62</v>
      </c>
      <c r="C100" s="58">
        <v>220</v>
      </c>
      <c r="D100" s="41">
        <v>14.025</v>
      </c>
      <c r="E100" s="11"/>
      <c r="F100" s="11"/>
    </row>
    <row r="101" spans="1:6" customHeight="1" ht="18">
      <c r="A101" s="45">
        <v>62</v>
      </c>
      <c r="B101" s="1" t="s">
        <v>36</v>
      </c>
      <c r="C101" s="29">
        <v>200</v>
      </c>
      <c r="D101" s="21">
        <v>12.75</v>
      </c>
    </row>
    <row r="102" spans="1:6" customHeight="1" ht="18">
      <c r="A102" s="66"/>
      <c r="B102" s="162"/>
      <c r="C102" s="162"/>
      <c r="D102" s="162"/>
    </row>
    <row r="103" spans="1:6" customHeight="1" ht="18">
      <c r="A103" s="133"/>
      <c r="B103" s="25"/>
      <c r="C103" s="166"/>
      <c r="D103" s="21"/>
    </row>
    <row r="104" spans="1:6" customHeight="1" ht="18">
      <c r="A104" s="133"/>
      <c r="B104" s="25"/>
      <c r="C104" s="166"/>
      <c r="D104" s="21"/>
    </row>
    <row r="105" spans="1:6" customHeight="1" ht="18">
      <c r="A105" s="133"/>
      <c r="B105" s="25"/>
      <c r="C105" s="166"/>
      <c r="D105" s="21"/>
    </row>
    <row r="106" spans="1:6" customHeight="1" ht="18">
      <c r="A106" s="139"/>
      <c r="B106" s="153"/>
      <c r="C106" s="180"/>
      <c r="D106" s="193"/>
    </row>
    <row r="107" spans="1:6" customHeight="1" ht="18">
      <c r="A107" s="125" t="s">
        <v>10</v>
      </c>
      <c r="B107" s="33"/>
      <c r="C107" s="54"/>
      <c r="D107" s="3"/>
    </row>
    <row r="108" spans="1:6" customHeight="1" ht="18">
      <c r="A108" s="3" t="s">
        <v>11</v>
      </c>
      <c r="B108" s="3"/>
      <c r="C108" s="12"/>
      <c r="D108" s="35"/>
    </row>
    <row r="109" spans="1:6" customHeight="1" ht="18">
      <c r="A109" s="3" t="s">
        <v>21</v>
      </c>
      <c r="B109" s="3"/>
      <c r="C109" s="12"/>
      <c r="D109" s="35"/>
    </row>
    <row r="110" spans="1:6" customHeight="1" ht="18" s="8" customFormat="1">
      <c r="A110" s="132"/>
      <c r="B110" s="3"/>
      <c r="C110" s="50"/>
      <c r="D110" s="35"/>
      <c r="E110" s="11"/>
      <c r="F110" s="11"/>
    </row>
    <row r="111" spans="1:6" customHeight="1" ht="18">
      <c r="A111" s="3" t="s">
        <v>31</v>
      </c>
      <c r="B111" s="3"/>
      <c r="C111" s="12"/>
      <c r="D111" s="3"/>
    </row>
    <row r="112" spans="1:6" customHeight="1" ht="18">
      <c r="A112" s="3" t="s">
        <v>11</v>
      </c>
      <c r="B112" s="3"/>
      <c r="C112" s="12"/>
      <c r="D112" s="35"/>
    </row>
    <row r="113" spans="1:6" customHeight="1" ht="18">
      <c r="A113" s="18" t="s">
        <v>21</v>
      </c>
      <c r="B113" s="18"/>
      <c r="C113" s="174"/>
      <c r="D113" s="36"/>
    </row>
    <row r="114" spans="1:6" customHeight="1" ht="18">
      <c r="A114" s="24" t="s">
        <v>41</v>
      </c>
      <c r="B114" s="24"/>
      <c r="C114" s="44"/>
      <c r="D114" s="18"/>
    </row>
    <row r="115" spans="1:6" customHeight="1" ht="18">
      <c r="A115" s="3" t="s">
        <v>42</v>
      </c>
      <c r="B115" s="3"/>
      <c r="C115" s="117"/>
      <c r="D115" s="195"/>
    </row>
    <row r="116" spans="1:6" customHeight="1" ht="18">
      <c r="A116" s="125" t="s">
        <v>21</v>
      </c>
      <c r="B116" s="3"/>
      <c r="C116" s="117"/>
      <c r="D116" s="35"/>
    </row>
    <row r="117" spans="1:6" customHeight="1" ht="18">
      <c r="A117" s="3" t="s">
        <v>48</v>
      </c>
      <c r="B117" s="145"/>
      <c r="C117" s="12"/>
      <c r="D117" s="3"/>
    </row>
    <row r="118" spans="1:6" customHeight="1" ht="18">
      <c r="A118" s="3" t="s">
        <v>42</v>
      </c>
      <c r="B118" s="3"/>
      <c r="C118" s="12"/>
      <c r="D118" s="35"/>
    </row>
    <row r="119" spans="1:6" customHeight="1" ht="18">
      <c r="A119" s="3" t="s">
        <v>21</v>
      </c>
      <c r="B119" s="3"/>
      <c r="C119" s="12"/>
      <c r="D119" s="35"/>
    </row>
    <row r="120" spans="1:6" customHeight="1" ht="18">
      <c r="A120" s="3" t="s">
        <v>54</v>
      </c>
      <c r="B120" s="3"/>
      <c r="C120" s="12"/>
      <c r="D120" s="3"/>
    </row>
    <row r="121" spans="1:6" customHeight="1" ht="18">
      <c r="A121" s="3" t="s">
        <v>42</v>
      </c>
      <c r="B121" s="3"/>
      <c r="C121" s="12"/>
      <c r="D121" s="35"/>
    </row>
    <row r="122" spans="1:6" customHeight="1" ht="18">
      <c r="A122" s="122" t="s">
        <v>21</v>
      </c>
      <c r="B122" s="23"/>
      <c r="C122" s="53"/>
      <c r="D122" s="71"/>
    </row>
    <row r="123" spans="1:6" customHeight="1" ht="18">
      <c r="A123" s="24" t="s">
        <v>59</v>
      </c>
      <c r="B123" s="24"/>
      <c r="C123" s="44"/>
      <c r="D123" s="18"/>
    </row>
    <row r="124" spans="1:6" customHeight="1" ht="18">
      <c r="A124" s="125" t="s">
        <v>42</v>
      </c>
      <c r="B124" s="3"/>
      <c r="C124" s="12"/>
      <c r="D124" s="35"/>
    </row>
    <row r="125" spans="1:6" customHeight="1" ht="18">
      <c r="A125" s="3" t="s">
        <v>21</v>
      </c>
      <c r="B125" s="3"/>
      <c r="C125" s="12"/>
      <c r="D125" s="35"/>
    </row>
    <row r="126" spans="1:6" customHeight="1" ht="18">
      <c r="A126" s="3" t="s">
        <v>65</v>
      </c>
      <c r="B126" s="3"/>
      <c r="C126" s="12"/>
      <c r="D126" s="3"/>
    </row>
    <row r="127" spans="1:6" customHeight="1" ht="18">
      <c r="A127" s="3" t="s">
        <v>11</v>
      </c>
      <c r="B127" s="3"/>
      <c r="C127" s="12"/>
      <c r="D127" s="35"/>
    </row>
    <row r="128" spans="1:6" customHeight="1" ht="18">
      <c r="A128" s="3" t="s">
        <v>21</v>
      </c>
      <c r="B128" s="3"/>
      <c r="C128" s="12"/>
      <c r="D128" s="35"/>
    </row>
    <row r="129" spans="1:6" customHeight="1" ht="18">
      <c r="A129" s="3" t="s">
        <v>71</v>
      </c>
      <c r="B129" s="3"/>
      <c r="C129" s="12"/>
      <c r="D129" s="3"/>
    </row>
    <row r="130" spans="1:6" customHeight="1" ht="18">
      <c r="A130" s="125" t="s">
        <v>42</v>
      </c>
      <c r="B130" s="33"/>
      <c r="C130" s="54"/>
      <c r="D130" s="36"/>
    </row>
    <row r="131" spans="1:6" customHeight="1" ht="18">
      <c r="A131" s="3" t="s">
        <v>21</v>
      </c>
      <c r="B131" s="145"/>
      <c r="C131" s="12"/>
      <c r="D131" s="35"/>
    </row>
    <row r="132" spans="1:6" customHeight="1" ht="18">
      <c r="A132" s="125" t="s">
        <v>75</v>
      </c>
      <c r="B132" s="145"/>
      <c r="C132" s="12"/>
      <c r="D132" s="125"/>
    </row>
    <row r="133" spans="1:6" customHeight="1" ht="18">
      <c r="A133" s="3" t="s">
        <v>42</v>
      </c>
      <c r="B133" s="126"/>
      <c r="C133" s="117"/>
      <c r="D133" s="35"/>
    </row>
    <row r="134" spans="1:6" customHeight="1" ht="15.75">
      <c r="A134" s="47"/>
      <c r="B134" s="100"/>
      <c r="C134" s="50"/>
      <c r="D134" s="35"/>
    </row>
    <row r="135" spans="1:6" customHeight="1" ht="15.75">
      <c r="A135" s="3" t="s">
        <v>21</v>
      </c>
      <c r="B135" s="145"/>
      <c r="C135" s="12"/>
      <c r="D135" s="35"/>
    </row>
    <row r="136" spans="1:6" customHeight="1" ht="15.75">
      <c r="A136" s="45"/>
      <c r="B136" s="9"/>
      <c r="C136" s="50"/>
      <c r="D136" s="35"/>
    </row>
    <row r="137" spans="1:6" customHeight="1" ht="63">
      <c r="A137" s="3" t="s">
        <v>79</v>
      </c>
      <c r="B137" s="3"/>
      <c r="C137" s="12"/>
      <c r="D137" s="3"/>
    </row>
    <row r="138" spans="1:6" customHeight="1" ht="15.75">
      <c r="A138" s="3" t="s">
        <v>42</v>
      </c>
      <c r="B138" s="125"/>
      <c r="C138" s="54"/>
      <c r="D138" s="35"/>
    </row>
    <row r="139" spans="1:6" customHeight="1" ht="15.75">
      <c r="A139" s="3" t="s">
        <v>21</v>
      </c>
      <c r="B139" s="125"/>
      <c r="C139" s="54"/>
      <c r="D139" s="3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72"/>
  <sheetViews>
    <sheetView tabSelected="0" workbookViewId="0" showGridLines="true" showRowColHeaders="1">
      <selection activeCell="B10" sqref="B10"/>
    </sheetView>
  </sheetViews>
  <sheetFormatPr customHeight="true" defaultRowHeight="15" defaultColWidth="9.140625" outlineLevelRow="0" outlineLevelCol="0"/>
  <cols>
    <col min="1" max="1" width="10" customWidth="true" style="43"/>
    <col min="2" max="2" width="57" customWidth="true" style="11"/>
    <col min="3" max="3" width="9.5703125" customWidth="true" style="55"/>
    <col min="4" max="4" width="9.5703125" customWidth="true" style="40"/>
    <col min="5" max="5" width="10.28515625" customWidth="true" style="11"/>
    <col min="6" max="6" width="10.7109375" customWidth="true" style="11"/>
    <col min="7" max="7" width="10.7109375" customWidth="true" style="11"/>
    <col min="8" max="8" width="11.85546875" customWidth="true" style="11"/>
    <col min="9" max="9" width="0" hidden="true" customWidth="true" style="11"/>
    <col min="10" max="10" width="9.5703125" hidden="true" customWidth="true" style="11"/>
    <col min="11" max="11" width="0" hidden="true" customWidth="true" style="11"/>
    <col min="12" max="12" width="0" hidden="true" customWidth="true" style="11"/>
    <col min="13" max="13" width="0" hidden="true" customWidth="true" style="11"/>
  </cols>
  <sheetData>
    <row r="1" spans="1:17" customHeight="1" ht="15">
      <c r="B1" s="220" t="s">
        <v>156</v>
      </c>
      <c r="C1" s="220"/>
      <c r="D1" s="220"/>
      <c r="E1" s="220"/>
      <c r="F1" s="220"/>
      <c r="G1" s="220"/>
      <c r="H1" s="42"/>
    </row>
    <row r="2" spans="1:17" customHeight="1" ht="15">
      <c r="B2" s="221"/>
      <c r="C2" s="221"/>
      <c r="D2" s="221"/>
      <c r="E2" s="221"/>
      <c r="F2" s="221"/>
      <c r="G2" s="221"/>
    </row>
    <row r="3" spans="1:17" customHeight="1" ht="15.75">
      <c r="A3" s="222" t="s">
        <v>1</v>
      </c>
      <c r="B3" s="225" t="s">
        <v>2</v>
      </c>
      <c r="C3" s="228" t="s">
        <v>3</v>
      </c>
      <c r="D3" s="231" t="s">
        <v>4</v>
      </c>
      <c r="E3" s="238" t="s">
        <v>5</v>
      </c>
      <c r="F3" s="238"/>
      <c r="G3" s="239"/>
      <c r="H3" s="232" t="s">
        <v>6</v>
      </c>
    </row>
    <row r="4" spans="1:17" customHeight="1" ht="15.75">
      <c r="A4" s="223"/>
      <c r="B4" s="226"/>
      <c r="C4" s="229"/>
      <c r="D4" s="231"/>
      <c r="E4" s="240"/>
      <c r="F4" s="240"/>
      <c r="G4" s="241"/>
      <c r="H4" s="233"/>
    </row>
    <row r="5" spans="1:17" customHeight="1" ht="15">
      <c r="A5" s="223"/>
      <c r="B5" s="226"/>
      <c r="C5" s="229"/>
      <c r="D5" s="231"/>
      <c r="E5" s="242" t="s">
        <v>7</v>
      </c>
      <c r="F5" s="225" t="s">
        <v>8</v>
      </c>
      <c r="G5" s="225" t="s">
        <v>9</v>
      </c>
      <c r="H5" s="233"/>
    </row>
    <row r="6" spans="1:17" customHeight="1" ht="15">
      <c r="A6" s="223"/>
      <c r="B6" s="226"/>
      <c r="C6" s="229"/>
      <c r="D6" s="231"/>
      <c r="E6" s="243"/>
      <c r="F6" s="226"/>
      <c r="G6" s="226"/>
      <c r="H6" s="233"/>
    </row>
    <row r="7" spans="1:17" customHeight="1" ht="33">
      <c r="A7" s="224"/>
      <c r="B7" s="227"/>
      <c r="C7" s="230"/>
      <c r="D7" s="231"/>
      <c r="E7" s="244"/>
      <c r="F7" s="227"/>
      <c r="G7" s="227"/>
      <c r="H7" s="234"/>
    </row>
    <row r="8" spans="1:17" customHeight="1" ht="18.75">
      <c r="A8" s="235" t="s">
        <v>10</v>
      </c>
      <c r="B8" s="236"/>
      <c r="C8" s="34"/>
      <c r="D8" s="33"/>
      <c r="E8" s="33"/>
      <c r="F8" s="33"/>
      <c r="G8" s="33"/>
      <c r="H8" s="33"/>
    </row>
    <row r="9" spans="1:17" customHeight="1" ht="18">
      <c r="A9" s="235" t="s">
        <v>11</v>
      </c>
      <c r="B9" s="236"/>
      <c r="C9" s="34"/>
      <c r="D9" s="39"/>
      <c r="E9" s="12"/>
      <c r="F9" s="12"/>
      <c r="G9" s="12"/>
      <c r="H9" s="12"/>
    </row>
    <row r="10" spans="1:17" customHeight="1" ht="18">
      <c r="A10" s="45">
        <v>208</v>
      </c>
      <c r="B10" s="4" t="s">
        <v>12</v>
      </c>
      <c r="C10" s="118" t="s">
        <v>13</v>
      </c>
      <c r="D10" s="41">
        <v>21.14</v>
      </c>
      <c r="E10" s="17">
        <f>9.2325+0.27</f>
        <v>9.5025</v>
      </c>
      <c r="F10" s="17">
        <f>11.568703703704+3.41</f>
        <v>14.978703703704</v>
      </c>
      <c r="G10" s="17">
        <f>22.895185185185-11.43</f>
        <v>11.465185185185</v>
      </c>
      <c r="H10" s="17">
        <f>232.6275-17.08</f>
        <v>215.5475</v>
      </c>
    </row>
    <row r="11" spans="1:17" customHeight="1" ht="18">
      <c r="A11" s="91" t="s">
        <v>29</v>
      </c>
      <c r="B11" s="4" t="s">
        <v>14</v>
      </c>
      <c r="C11" s="51">
        <v>36</v>
      </c>
      <c r="D11" s="21">
        <v>3.76</v>
      </c>
      <c r="E11" s="4">
        <f>7.9/100*30</f>
        <v>2.37</v>
      </c>
      <c r="F11" s="4">
        <f>1/100*30</f>
        <v>0.3</v>
      </c>
      <c r="G11" s="4">
        <f>48.3/100*30</f>
        <v>14.49</v>
      </c>
      <c r="H11" s="4">
        <v>70.14</v>
      </c>
      <c r="P11" s="114"/>
    </row>
    <row r="12" spans="1:17" customHeight="1" ht="18">
      <c r="A12" s="45" t="s">
        <v>18</v>
      </c>
      <c r="B12" s="4" t="s">
        <v>15</v>
      </c>
      <c r="C12" s="51">
        <v>95</v>
      </c>
      <c r="D12" s="41">
        <v>40.3</v>
      </c>
      <c r="E12" s="17">
        <v>1.61</v>
      </c>
      <c r="F12" s="17">
        <v>0.115</v>
      </c>
      <c r="G12" s="17">
        <v>16.2</v>
      </c>
      <c r="H12" s="17">
        <v>73.6</v>
      </c>
    </row>
    <row r="13" spans="1:17" customHeight="1" ht="18">
      <c r="A13" s="45">
        <v>300</v>
      </c>
      <c r="B13" s="25" t="s">
        <v>16</v>
      </c>
      <c r="C13" s="118" t="s">
        <v>17</v>
      </c>
      <c r="D13" s="21">
        <v>5.99</v>
      </c>
      <c r="E13" s="4">
        <v>0.1</v>
      </c>
      <c r="F13" s="4">
        <v>0.0</v>
      </c>
      <c r="G13" s="4">
        <v>20.2</v>
      </c>
      <c r="H13" s="4">
        <v>81.2</v>
      </c>
    </row>
    <row r="14" spans="1:17" customHeight="1" ht="18">
      <c r="A14" s="45" t="s">
        <v>18</v>
      </c>
      <c r="B14" s="14" t="s">
        <v>19</v>
      </c>
      <c r="C14" s="30">
        <v>30</v>
      </c>
      <c r="D14" s="41">
        <v>6.81</v>
      </c>
      <c r="E14" s="17">
        <v>1.8225</v>
      </c>
      <c r="F14" s="17">
        <v>0.405</v>
      </c>
      <c r="G14" s="17">
        <v>4.6425</v>
      </c>
      <c r="H14" s="17">
        <v>29.51</v>
      </c>
    </row>
    <row r="15" spans="1:17" customHeight="1" ht="18" s="7" customFormat="1">
      <c r="A15" s="47"/>
      <c r="B15" s="9" t="s">
        <v>20</v>
      </c>
      <c r="C15" s="50">
        <f>150+30+95+205+30</f>
        <v>510</v>
      </c>
      <c r="D15" s="75">
        <f>SUM(D10:D14)</f>
        <v>78</v>
      </c>
      <c r="E15" s="75">
        <f>SUM(E10:E14)</f>
        <v>15.405</v>
      </c>
      <c r="F15" s="75">
        <f>SUM(F10:F14)</f>
        <v>15.798703703704</v>
      </c>
      <c r="G15" s="75">
        <f>SUM(G10:G14)</f>
        <v>66.997685185185</v>
      </c>
      <c r="H15" s="75">
        <f>SUM(H10:H14)</f>
        <v>469.9975</v>
      </c>
      <c r="I15" s="7">
        <v>77.36</v>
      </c>
      <c r="J15" s="119">
        <f>D15-I15</f>
        <v>0.63999999999999</v>
      </c>
      <c r="N15" s="113"/>
    </row>
    <row r="16" spans="1:17" customHeight="1" ht="18">
      <c r="A16" s="235" t="s">
        <v>21</v>
      </c>
      <c r="B16" s="236"/>
      <c r="C16" s="54"/>
      <c r="D16" s="36"/>
      <c r="E16" s="18"/>
      <c r="F16" s="18"/>
      <c r="G16" s="18"/>
      <c r="H16" s="18"/>
      <c r="I16" s="114">
        <f>E15-E16</f>
        <v>15.405</v>
      </c>
      <c r="J16" s="114">
        <f>F15-F16</f>
        <v>15.798703703704</v>
      </c>
      <c r="K16" s="114">
        <f>G15-G16</f>
        <v>66.997685185185</v>
      </c>
      <c r="L16" s="114">
        <f>H15-H16</f>
        <v>469.9975</v>
      </c>
    </row>
    <row r="17" spans="1:17" customHeight="1" ht="18">
      <c r="A17" s="90">
        <v>65</v>
      </c>
      <c r="B17" s="1" t="s">
        <v>22</v>
      </c>
      <c r="C17" s="62">
        <v>200</v>
      </c>
      <c r="D17" s="21">
        <v>9.75</v>
      </c>
      <c r="E17" s="26">
        <v>6.4</v>
      </c>
      <c r="F17" s="26">
        <v>8</v>
      </c>
      <c r="G17" s="26">
        <v>30.7</v>
      </c>
      <c r="H17" s="26">
        <v>220.4</v>
      </c>
    </row>
    <row r="18" spans="1:17" customHeight="1" ht="18">
      <c r="A18" s="90">
        <v>97</v>
      </c>
      <c r="B18" s="1" t="s">
        <v>148</v>
      </c>
      <c r="C18" s="29">
        <v>90</v>
      </c>
      <c r="D18" s="21">
        <f>50.35-14+5-0.41+0.59-1.21+2+3.19-3.81</f>
        <v>41.7</v>
      </c>
      <c r="E18" s="16">
        <f>14.02-7+0.3</f>
        <v>7.32</v>
      </c>
      <c r="F18" s="16">
        <f>9.3-1.96+0.9</f>
        <v>8.24</v>
      </c>
      <c r="G18" s="16">
        <v>7.1</v>
      </c>
      <c r="H18" s="16">
        <v>131.84</v>
      </c>
    </row>
    <row r="19" spans="1:17" customHeight="1" ht="18">
      <c r="A19" s="91" t="s">
        <v>24</v>
      </c>
      <c r="B19" s="1" t="s">
        <v>25</v>
      </c>
      <c r="C19" s="57">
        <v>150</v>
      </c>
      <c r="D19" s="21">
        <v>12.3</v>
      </c>
      <c r="E19" s="19">
        <v>4.925</v>
      </c>
      <c r="F19" s="19">
        <v>6.8</v>
      </c>
      <c r="G19" s="19">
        <f>21.008333333333-3</f>
        <v>18.008333333333</v>
      </c>
      <c r="H19" s="19">
        <v>152.93</v>
      </c>
    </row>
    <row r="20" spans="1:17" customHeight="1" ht="18">
      <c r="A20" s="45">
        <v>300</v>
      </c>
      <c r="B20" s="76" t="s">
        <v>26</v>
      </c>
      <c r="C20" s="51">
        <v>200</v>
      </c>
      <c r="D20" s="21">
        <v>7.73</v>
      </c>
      <c r="E20" s="4">
        <v>0.1</v>
      </c>
      <c r="F20" s="4">
        <v>0.0</v>
      </c>
      <c r="G20" s="4">
        <v>20.2</v>
      </c>
      <c r="H20" s="4">
        <v>81.2</v>
      </c>
    </row>
    <row r="21" spans="1:17" customHeight="1" ht="18" s="8" customFormat="1">
      <c r="A21" s="48" t="s">
        <v>27</v>
      </c>
      <c r="B21" s="4" t="s">
        <v>28</v>
      </c>
      <c r="C21" s="51">
        <v>37</v>
      </c>
      <c r="D21" s="21">
        <v>3.4</v>
      </c>
      <c r="E21" s="2">
        <f>6.6/100*30</f>
        <v>1.98</v>
      </c>
      <c r="F21" s="52">
        <f>1.2/100*30</f>
        <v>0.36</v>
      </c>
      <c r="G21" s="2">
        <f>33.4/100*30</f>
        <v>10.02</v>
      </c>
      <c r="H21" s="2">
        <v>51.24</v>
      </c>
    </row>
    <row r="22" spans="1:17" customHeight="1" ht="18" s="8" customFormat="1">
      <c r="A22" s="91" t="s">
        <v>29</v>
      </c>
      <c r="B22" s="4" t="s">
        <v>14</v>
      </c>
      <c r="C22" s="51">
        <v>30</v>
      </c>
      <c r="D22" s="21">
        <v>3.12</v>
      </c>
      <c r="E22" s="4">
        <f>7.9/100*30</f>
        <v>2.37</v>
      </c>
      <c r="F22" s="4">
        <f>1/100*30</f>
        <v>0.3</v>
      </c>
      <c r="G22" s="4">
        <f>48.3/100*30</f>
        <v>14.49</v>
      </c>
      <c r="H22" s="4">
        <v>70.14</v>
      </c>
    </row>
    <row r="23" spans="1:17" customHeight="1" ht="18" s="8" customFormat="1">
      <c r="A23" s="47"/>
      <c r="B23" s="9" t="s">
        <v>20</v>
      </c>
      <c r="C23" s="50">
        <f>SUM(C17:C22)</f>
        <v>707</v>
      </c>
      <c r="D23" s="35">
        <f>SUM(D17:D22)</f>
        <v>78</v>
      </c>
      <c r="E23" s="35">
        <f>SUM(E17:E22)</f>
        <v>23.095</v>
      </c>
      <c r="F23" s="35">
        <f>SUM(F17:F22)</f>
        <v>23.7</v>
      </c>
      <c r="G23" s="35">
        <f>SUM(G17:G22)</f>
        <v>100.51833333333</v>
      </c>
      <c r="H23" s="35">
        <f>SUM(H17:H22)</f>
        <v>707.75</v>
      </c>
      <c r="I23" s="8">
        <v>77.36</v>
      </c>
      <c r="J23" s="120">
        <f>I23-D23</f>
        <v>-0.64000000000001</v>
      </c>
      <c r="O23" s="120"/>
    </row>
    <row r="24" spans="1:17" customHeight="1" ht="18">
      <c r="A24" s="47"/>
      <c r="B24" s="3" t="s">
        <v>30</v>
      </c>
      <c r="C24" s="50"/>
      <c r="D24" s="64"/>
      <c r="E24" s="35">
        <f>E15+E23</f>
        <v>38.5</v>
      </c>
      <c r="F24" s="35">
        <f>F15+F23</f>
        <v>39.498703703704</v>
      </c>
      <c r="G24" s="35">
        <f>G15+G23</f>
        <v>167.51601851852</v>
      </c>
      <c r="H24" s="35">
        <f>H15+H23</f>
        <v>1177.7475</v>
      </c>
    </row>
    <row r="25" spans="1:17" customHeight="1" ht="18">
      <c r="A25" s="249" t="s">
        <v>31</v>
      </c>
      <c r="B25" s="249"/>
      <c r="C25" s="174"/>
      <c r="D25" s="18"/>
      <c r="E25" s="115"/>
      <c r="F25" s="115"/>
      <c r="G25" s="115"/>
      <c r="H25" s="18"/>
    </row>
    <row r="26" spans="1:17" customHeight="1" ht="18">
      <c r="A26" s="249" t="s">
        <v>11</v>
      </c>
      <c r="B26" s="249"/>
      <c r="C26" s="174"/>
      <c r="D26" s="36"/>
      <c r="E26" s="18"/>
      <c r="F26" s="10"/>
      <c r="G26" s="18"/>
      <c r="H26" s="18"/>
    </row>
    <row r="27" spans="1:17" customHeight="1" ht="18">
      <c r="A27" s="45">
        <v>234</v>
      </c>
      <c r="B27" s="2" t="s">
        <v>32</v>
      </c>
      <c r="C27" s="56">
        <v>115</v>
      </c>
      <c r="D27" s="21">
        <v>41.3</v>
      </c>
      <c r="E27" s="31">
        <f>6.9+3.28</f>
        <v>10.18</v>
      </c>
      <c r="F27" s="31">
        <f>10.1-1.28</f>
        <v>8.82</v>
      </c>
      <c r="G27" s="31">
        <v>8</v>
      </c>
      <c r="H27" s="31">
        <v>152.1</v>
      </c>
    </row>
    <row r="28" spans="1:17" customHeight="1" ht="18">
      <c r="A28" s="91" t="s">
        <v>29</v>
      </c>
      <c r="B28" s="4" t="s">
        <v>14</v>
      </c>
      <c r="C28" s="51">
        <v>46</v>
      </c>
      <c r="D28" s="21">
        <v>4.8</v>
      </c>
      <c r="E28" s="4">
        <f>7.9/100*30</f>
        <v>2.37</v>
      </c>
      <c r="F28" s="4">
        <f>1/100*30</f>
        <v>0.3</v>
      </c>
      <c r="G28" s="4">
        <f>48.3/100*30</f>
        <v>14.49</v>
      </c>
      <c r="H28" s="4">
        <v>70.14</v>
      </c>
      <c r="N28" s="114"/>
    </row>
    <row r="29" spans="1:17" customHeight="1" ht="18" s="8" customFormat="1">
      <c r="A29" s="45">
        <v>300</v>
      </c>
      <c r="B29" s="25" t="s">
        <v>33</v>
      </c>
      <c r="C29" s="51">
        <v>200</v>
      </c>
      <c r="D29" s="21">
        <v>3.52</v>
      </c>
      <c r="E29" s="4">
        <v>0.1</v>
      </c>
      <c r="F29" s="4">
        <v>0.0</v>
      </c>
      <c r="G29" s="4">
        <v>20.2</v>
      </c>
      <c r="H29" s="4">
        <v>81.2</v>
      </c>
    </row>
    <row r="30" spans="1:17" customHeight="1" ht="18" s="8" customFormat="1">
      <c r="A30" s="45" t="s">
        <v>18</v>
      </c>
      <c r="B30" s="14" t="s">
        <v>34</v>
      </c>
      <c r="C30" s="30">
        <v>100</v>
      </c>
      <c r="D30" s="41">
        <f>11.56+3.19</f>
        <v>14.75</v>
      </c>
      <c r="E30" s="17">
        <v>0.84115384615385</v>
      </c>
      <c r="F30" s="17">
        <v>0.18692307692308</v>
      </c>
      <c r="G30" s="17">
        <v>2.1426923076923</v>
      </c>
      <c r="H30" s="17">
        <v>13.62</v>
      </c>
    </row>
    <row r="31" spans="1:17" customHeight="1" ht="18">
      <c r="A31" s="45" t="s">
        <v>18</v>
      </c>
      <c r="B31" s="27" t="s">
        <v>35</v>
      </c>
      <c r="C31" s="30">
        <v>60</v>
      </c>
      <c r="D31" s="41">
        <v>13.63</v>
      </c>
      <c r="E31" s="17">
        <v>1.92</v>
      </c>
      <c r="F31" s="17">
        <v>6.5</v>
      </c>
      <c r="G31" s="17">
        <f>19.17+3</f>
        <v>22.17</v>
      </c>
      <c r="H31" s="17">
        <v>154.86</v>
      </c>
    </row>
    <row r="32" spans="1:17" customHeight="1" ht="18">
      <c r="A32" s="46"/>
      <c r="B32" s="9" t="s">
        <v>20</v>
      </c>
      <c r="C32" s="50">
        <f>SUM(C27:C31)</f>
        <v>521</v>
      </c>
      <c r="D32" s="35">
        <f>SUM(D27:D31)</f>
        <v>78</v>
      </c>
      <c r="E32" s="35">
        <f>SUM(E27:E31)</f>
        <v>15.411153846154</v>
      </c>
      <c r="F32" s="35">
        <f>SUM(F27:F31)</f>
        <v>15.806923076923</v>
      </c>
      <c r="G32" s="35">
        <f>SUM(G27:G31)</f>
        <v>67.002692307692</v>
      </c>
      <c r="H32" s="35">
        <f>SUM(H27:H31)</f>
        <v>471.92</v>
      </c>
      <c r="I32" s="11">
        <v>77.36</v>
      </c>
      <c r="J32" s="114">
        <f>D32-I32</f>
        <v>0.64</v>
      </c>
      <c r="N32" s="114"/>
    </row>
    <row r="33" spans="1:17" customHeight="1" ht="18">
      <c r="A33" s="235" t="s">
        <v>21</v>
      </c>
      <c r="B33" s="236"/>
      <c r="C33" s="54"/>
      <c r="D33" s="36"/>
      <c r="E33" s="18"/>
      <c r="F33" s="18"/>
      <c r="G33" s="18"/>
      <c r="H33" s="18"/>
    </row>
    <row r="34" spans="1:17" customHeight="1" ht="18">
      <c r="A34" s="45">
        <v>62</v>
      </c>
      <c r="B34" s="1" t="s">
        <v>36</v>
      </c>
      <c r="C34" s="29">
        <v>200</v>
      </c>
      <c r="D34" s="21">
        <v>12.75</v>
      </c>
      <c r="E34" s="16">
        <v>5.8</v>
      </c>
      <c r="F34" s="16">
        <v>4.3</v>
      </c>
      <c r="G34" s="16">
        <v>27.8</v>
      </c>
      <c r="H34" s="4">
        <v>173.1</v>
      </c>
    </row>
    <row r="35" spans="1:17" customHeight="1" ht="18">
      <c r="A35" s="45">
        <v>158</v>
      </c>
      <c r="B35" s="25" t="s">
        <v>37</v>
      </c>
      <c r="C35" s="57">
        <v>220</v>
      </c>
      <c r="D35" s="41">
        <f>19.54+3.5+10.48+0.96+6.63+3.19</f>
        <v>44.3</v>
      </c>
      <c r="E35" s="14">
        <v>10.35</v>
      </c>
      <c r="F35" s="19">
        <f>13.2/180*220+1.61</f>
        <v>17.743333333333</v>
      </c>
      <c r="G35" s="19">
        <f>15.06+1.08-2.25</f>
        <v>13.89</v>
      </c>
      <c r="H35" s="15">
        <f>256.65+0.47</f>
        <v>257.12</v>
      </c>
    </row>
    <row r="36" spans="1:17" customHeight="1" ht="18">
      <c r="A36" s="45" t="s">
        <v>38</v>
      </c>
      <c r="B36" s="25" t="s">
        <v>39</v>
      </c>
      <c r="C36" s="51">
        <v>60</v>
      </c>
      <c r="D36" s="41">
        <v>6.3</v>
      </c>
      <c r="E36" s="22">
        <v>2.4</v>
      </c>
      <c r="F36" s="22">
        <v>0.9</v>
      </c>
      <c r="G36" s="22">
        <v>17.1</v>
      </c>
      <c r="H36" s="22">
        <v>83.4</v>
      </c>
    </row>
    <row r="37" spans="1:17" customHeight="1" ht="18">
      <c r="A37" s="45">
        <v>300</v>
      </c>
      <c r="B37" s="25" t="s">
        <v>40</v>
      </c>
      <c r="C37" s="51">
        <v>200</v>
      </c>
      <c r="D37" s="21">
        <v>7.09</v>
      </c>
      <c r="E37" s="22">
        <v>0.2</v>
      </c>
      <c r="F37" s="22">
        <v>0.1</v>
      </c>
      <c r="G37" s="22">
        <v>17.2</v>
      </c>
      <c r="H37" s="13">
        <v>70</v>
      </c>
    </row>
    <row r="38" spans="1:17" customHeight="1" ht="18" s="8" customFormat="1">
      <c r="A38" s="48" t="s">
        <v>27</v>
      </c>
      <c r="B38" s="4" t="s">
        <v>28</v>
      </c>
      <c r="C38" s="51">
        <v>37</v>
      </c>
      <c r="D38" s="21">
        <v>3.4</v>
      </c>
      <c r="E38" s="2">
        <f>6.6/100*30</f>
        <v>1.98</v>
      </c>
      <c r="F38" s="52">
        <f>1.2/100*30</f>
        <v>0.36</v>
      </c>
      <c r="G38" s="2">
        <f>33.4/100*30</f>
        <v>10.02</v>
      </c>
      <c r="H38" s="2">
        <v>51.24</v>
      </c>
    </row>
    <row r="39" spans="1:17" customHeight="1" ht="18" s="8" customFormat="1">
      <c r="A39" s="48" t="s">
        <v>29</v>
      </c>
      <c r="B39" s="4" t="s">
        <v>14</v>
      </c>
      <c r="C39" s="51">
        <v>40</v>
      </c>
      <c r="D39" s="21">
        <f>3.12/30*40</f>
        <v>4.16</v>
      </c>
      <c r="E39" s="4">
        <f>7.9/100*30</f>
        <v>2.37</v>
      </c>
      <c r="F39" s="4">
        <f>1/100*30</f>
        <v>0.3</v>
      </c>
      <c r="G39" s="4">
        <f>48.3/100*30</f>
        <v>14.49</v>
      </c>
      <c r="H39" s="4">
        <v>70.14</v>
      </c>
    </row>
    <row r="40" spans="1:17" customHeight="1" ht="18" s="8" customFormat="1">
      <c r="A40" s="47"/>
      <c r="B40" s="9" t="s">
        <v>20</v>
      </c>
      <c r="C40" s="50">
        <f>SUM(C34:C39)</f>
        <v>757</v>
      </c>
      <c r="D40" s="75">
        <f>SUM(D34:D39)</f>
        <v>78</v>
      </c>
      <c r="E40" s="75">
        <f>SUM(E34:E39)</f>
        <v>23.1</v>
      </c>
      <c r="F40" s="75">
        <f>SUM(F34:F39)</f>
        <v>23.703333333333</v>
      </c>
      <c r="G40" s="75">
        <f>SUM(G34:G39)</f>
        <v>100.5</v>
      </c>
      <c r="H40" s="75">
        <f>SUM(H34:H39)</f>
        <v>705</v>
      </c>
      <c r="I40" s="8">
        <v>77.36</v>
      </c>
      <c r="J40" s="120">
        <f>D40-I40</f>
        <v>0.64</v>
      </c>
    </row>
    <row r="41" spans="1:17" customHeight="1" ht="18">
      <c r="A41" s="47"/>
      <c r="B41" s="3" t="s">
        <v>30</v>
      </c>
      <c r="C41" s="50"/>
      <c r="D41" s="35"/>
      <c r="E41" s="35">
        <f>E32+E40</f>
        <v>38.511153846154</v>
      </c>
      <c r="F41" s="35">
        <f>F32+F40</f>
        <v>39.510256410256</v>
      </c>
      <c r="G41" s="35">
        <f>G32+G40</f>
        <v>167.50269230769</v>
      </c>
      <c r="H41" s="35">
        <f>H32+H40</f>
        <v>1176.92</v>
      </c>
    </row>
    <row r="42" spans="1:17" customHeight="1" ht="30">
      <c r="A42" s="249" t="s">
        <v>41</v>
      </c>
      <c r="B42" s="249"/>
      <c r="C42" s="174"/>
      <c r="D42" s="18"/>
      <c r="E42" s="18"/>
      <c r="F42" s="18"/>
      <c r="G42" s="18"/>
      <c r="H42" s="18"/>
    </row>
    <row r="43" spans="1:17" customHeight="1" ht="15.75">
      <c r="A43" s="249" t="s">
        <v>42</v>
      </c>
      <c r="B43" s="249"/>
      <c r="C43" s="174"/>
      <c r="D43" s="36"/>
      <c r="E43" s="115"/>
      <c r="F43" s="18"/>
      <c r="G43" s="18"/>
      <c r="H43" s="18"/>
    </row>
    <row r="44" spans="1:17" customHeight="1" ht="18">
      <c r="A44" s="45">
        <v>208</v>
      </c>
      <c r="B44" s="4" t="s">
        <v>43</v>
      </c>
      <c r="C44" s="51">
        <v>200</v>
      </c>
      <c r="D44" s="41">
        <v>29.11</v>
      </c>
      <c r="E44" s="17">
        <v>12.31</v>
      </c>
      <c r="F44" s="17">
        <f>12.744938271605+1.18+1.5</f>
        <v>15.424938271605</v>
      </c>
      <c r="G44" s="17">
        <f>40.246913580247-27.11+17.39</f>
        <v>30.526913580247</v>
      </c>
      <c r="H44" s="73">
        <v>310.17</v>
      </c>
    </row>
    <row r="45" spans="1:17" customHeight="1" ht="18">
      <c r="A45" s="48" t="s">
        <v>29</v>
      </c>
      <c r="B45" s="4" t="s">
        <v>157</v>
      </c>
      <c r="C45" s="51">
        <v>56</v>
      </c>
      <c r="D45" s="21">
        <f>27.7+0.64</f>
        <v>28.34</v>
      </c>
      <c r="E45" s="4">
        <f>7.9/100*30-0.08</f>
        <v>2.29</v>
      </c>
      <c r="F45" s="4">
        <f>1/100*30-0.08</f>
        <v>0.22</v>
      </c>
      <c r="G45" s="4">
        <f>48.3/100*30</f>
        <v>14.49</v>
      </c>
      <c r="H45" s="4">
        <f>69.1-1.82</f>
        <v>67.28</v>
      </c>
    </row>
    <row r="46" spans="1:17" customHeight="1" ht="18">
      <c r="A46" s="45" t="s">
        <v>18</v>
      </c>
      <c r="B46" s="14" t="s">
        <v>34</v>
      </c>
      <c r="C46" s="30">
        <v>100</v>
      </c>
      <c r="D46" s="41">
        <f>13.841666666667+3.19</f>
        <v>17.031666666667</v>
      </c>
      <c r="E46" s="17">
        <v>0.70096153846154</v>
      </c>
      <c r="F46" s="17">
        <v>0.15576923076923</v>
      </c>
      <c r="G46" s="17">
        <v>1.7855769230769</v>
      </c>
      <c r="H46" s="17">
        <v>11.35</v>
      </c>
    </row>
    <row r="47" spans="1:17" customHeight="1" ht="18">
      <c r="A47" s="45">
        <v>300</v>
      </c>
      <c r="B47" s="25" t="s">
        <v>33</v>
      </c>
      <c r="C47" s="51">
        <v>200</v>
      </c>
      <c r="D47" s="21">
        <v>3.52</v>
      </c>
      <c r="E47" s="4">
        <v>0.1</v>
      </c>
      <c r="F47" s="4">
        <v>0.0</v>
      </c>
      <c r="G47" s="4">
        <v>20.2</v>
      </c>
      <c r="H47" s="4">
        <v>81.2</v>
      </c>
    </row>
    <row r="48" spans="1:17" customHeight="1" ht="18">
      <c r="A48" s="47"/>
      <c r="B48" s="9" t="s">
        <v>20</v>
      </c>
      <c r="C48" s="50">
        <f>SUM(C44:C47)</f>
        <v>556</v>
      </c>
      <c r="D48" s="35">
        <f>SUM(D44:D47)</f>
        <v>78.001666666667</v>
      </c>
      <c r="E48" s="5">
        <f>SUM(E44:E47)</f>
        <v>15.400961538462</v>
      </c>
      <c r="F48" s="5">
        <f>SUM(F44:F47)</f>
        <v>15.800707502374</v>
      </c>
      <c r="G48" s="5">
        <f>SUM(G44:G47)</f>
        <v>67.002490503324</v>
      </c>
      <c r="H48" s="5">
        <f>SUM(H44:H47)</f>
        <v>470</v>
      </c>
      <c r="I48" s="11">
        <v>77.36</v>
      </c>
      <c r="J48" s="114">
        <f>D48-I48</f>
        <v>0.64166666666699</v>
      </c>
      <c r="N48" s="114"/>
    </row>
    <row r="49" spans="1:17" customHeight="1" ht="18">
      <c r="A49" s="235" t="s">
        <v>21</v>
      </c>
      <c r="B49" s="236"/>
      <c r="C49" s="54"/>
      <c r="D49" s="36"/>
      <c r="E49" s="18"/>
      <c r="F49" s="18"/>
      <c r="G49" s="18"/>
      <c r="H49" s="18"/>
    </row>
    <row r="50" spans="1:17" customHeight="1" ht="18">
      <c r="A50" s="45">
        <v>55</v>
      </c>
      <c r="B50" s="20" t="s">
        <v>45</v>
      </c>
      <c r="C50" s="29">
        <v>200</v>
      </c>
      <c r="D50" s="41">
        <v>12.75</v>
      </c>
      <c r="E50" s="19">
        <v>6.25</v>
      </c>
      <c r="F50" s="19">
        <v>9.7</v>
      </c>
      <c r="G50" s="19">
        <f>31.8-13</f>
        <v>18.8</v>
      </c>
      <c r="H50" s="19">
        <v>187.5</v>
      </c>
    </row>
    <row r="51" spans="1:17" customHeight="1" ht="18">
      <c r="A51" s="45">
        <v>158</v>
      </c>
      <c r="B51" s="116" t="s">
        <v>46</v>
      </c>
      <c r="C51" s="57">
        <v>90</v>
      </c>
      <c r="D51" s="41">
        <f>35.52+0.6</f>
        <v>36.12</v>
      </c>
      <c r="E51" s="14">
        <f>12.65-4.6-0.4</f>
        <v>7.65</v>
      </c>
      <c r="F51" s="19">
        <f>13.2/180*220-5-0.25</f>
        <v>10.883333333333</v>
      </c>
      <c r="G51" s="19">
        <f>15.06+0.46</f>
        <v>15.52</v>
      </c>
      <c r="H51" s="15">
        <f>192.64-4.75</f>
        <v>187.89</v>
      </c>
    </row>
    <row r="52" spans="1:17" customHeight="1" ht="18">
      <c r="A52" s="45">
        <v>146</v>
      </c>
      <c r="B52" s="20" t="s">
        <v>47</v>
      </c>
      <c r="C52" s="57">
        <v>150</v>
      </c>
      <c r="D52" s="41">
        <v>14.88</v>
      </c>
      <c r="E52" s="19">
        <v>4.75</v>
      </c>
      <c r="F52" s="19">
        <v>2.46</v>
      </c>
      <c r="G52" s="19">
        <v>21.47</v>
      </c>
      <c r="H52" s="15">
        <v>127.03</v>
      </c>
    </row>
    <row r="53" spans="1:17" customHeight="1" ht="18" s="8" customFormat="1">
      <c r="A53" s="45">
        <v>300</v>
      </c>
      <c r="B53" s="105" t="s">
        <v>26</v>
      </c>
      <c r="C53" s="51">
        <v>200</v>
      </c>
      <c r="D53" s="21">
        <v>7.73</v>
      </c>
      <c r="E53" s="4">
        <v>0.1</v>
      </c>
      <c r="F53" s="4">
        <v>0.0</v>
      </c>
      <c r="G53" s="4">
        <v>20.2</v>
      </c>
      <c r="H53" s="4">
        <v>81.2</v>
      </c>
    </row>
    <row r="54" spans="1:17" customHeight="1" ht="18" s="8" customFormat="1">
      <c r="A54" s="48" t="s">
        <v>27</v>
      </c>
      <c r="B54" s="4" t="s">
        <v>28</v>
      </c>
      <c r="C54" s="51">
        <v>37</v>
      </c>
      <c r="D54" s="21">
        <v>3.4</v>
      </c>
      <c r="E54" s="2">
        <f>6.6/100*30</f>
        <v>1.98</v>
      </c>
      <c r="F54" s="52">
        <f>1.2/100*30</f>
        <v>0.36</v>
      </c>
      <c r="G54" s="2">
        <f>33.4/100*30</f>
        <v>10.02</v>
      </c>
      <c r="H54" s="2">
        <v>51.24</v>
      </c>
    </row>
    <row r="55" spans="1:17" customHeight="1" ht="18" s="8" customFormat="1">
      <c r="A55" s="48" t="s">
        <v>29</v>
      </c>
      <c r="B55" s="4" t="s">
        <v>14</v>
      </c>
      <c r="C55" s="51">
        <v>30</v>
      </c>
      <c r="D55" s="21">
        <v>3.12</v>
      </c>
      <c r="E55" s="4">
        <f>7.9/100*30</f>
        <v>2.37</v>
      </c>
      <c r="F55" s="4">
        <f>1/100*30</f>
        <v>0.3</v>
      </c>
      <c r="G55" s="4">
        <f>48.3/100*30</f>
        <v>14.49</v>
      </c>
      <c r="H55" s="4">
        <v>70.14</v>
      </c>
    </row>
    <row r="56" spans="1:17" customHeight="1" ht="18">
      <c r="A56" s="47"/>
      <c r="B56" s="9" t="s">
        <v>20</v>
      </c>
      <c r="C56" s="50">
        <f>SUM(C50:C55)</f>
        <v>707</v>
      </c>
      <c r="D56" s="35">
        <f>SUM(D50:D55)</f>
        <v>78</v>
      </c>
      <c r="E56" s="35">
        <f>SUM(E50:E55)</f>
        <v>23.1</v>
      </c>
      <c r="F56" s="35">
        <f>SUM(F50:F55)</f>
        <v>23.703333333333</v>
      </c>
      <c r="G56" s="35">
        <f>SUM(G50:G55)</f>
        <v>100.5</v>
      </c>
      <c r="H56" s="5">
        <f>SUM(H50:H55)</f>
        <v>705</v>
      </c>
      <c r="I56" s="11">
        <v>77.36</v>
      </c>
      <c r="J56" s="114">
        <f>I56-D56</f>
        <v>-0.64000000000001</v>
      </c>
    </row>
    <row r="57" spans="1:17" customHeight="1" ht="18">
      <c r="A57" s="47"/>
      <c r="B57" s="3" t="s">
        <v>30</v>
      </c>
      <c r="C57" s="50"/>
      <c r="D57" s="68"/>
      <c r="E57" s="68">
        <f>E48+E56</f>
        <v>38.500961538462</v>
      </c>
      <c r="F57" s="68">
        <f>F48+F56</f>
        <v>39.504040835708</v>
      </c>
      <c r="G57" s="68">
        <f>G48+G56</f>
        <v>167.50249050332</v>
      </c>
      <c r="H57" s="68">
        <f>H48+H56</f>
        <v>1175</v>
      </c>
    </row>
    <row r="58" spans="1:17" customHeight="1" ht="18">
      <c r="A58" s="249" t="s">
        <v>48</v>
      </c>
      <c r="B58" s="249"/>
      <c r="C58" s="174"/>
      <c r="D58" s="18"/>
      <c r="E58" s="18"/>
      <c r="F58" s="18"/>
      <c r="G58" s="18"/>
      <c r="H58" s="18"/>
    </row>
    <row r="59" spans="1:17" customHeight="1" ht="18">
      <c r="A59" s="249" t="s">
        <v>42</v>
      </c>
      <c r="B59" s="249"/>
      <c r="C59" s="174"/>
      <c r="D59" s="36"/>
      <c r="E59" s="10"/>
      <c r="F59" s="18"/>
      <c r="G59" s="10"/>
      <c r="H59" s="18"/>
    </row>
    <row r="60" spans="1:17" customHeight="1" ht="18">
      <c r="A60" s="45">
        <v>96</v>
      </c>
      <c r="B60" s="1" t="s">
        <v>49</v>
      </c>
      <c r="C60" s="29">
        <v>90</v>
      </c>
      <c r="D60" s="21">
        <v>52.35</v>
      </c>
      <c r="E60" s="16">
        <f>14.02-7</f>
        <v>7.02</v>
      </c>
      <c r="F60" s="16">
        <f>9.3-1.96</f>
        <v>7.34</v>
      </c>
      <c r="G60" s="16">
        <v>7.1</v>
      </c>
      <c r="H60" s="16">
        <v>122.54</v>
      </c>
    </row>
    <row r="61" spans="1:17" customHeight="1" ht="18">
      <c r="A61" s="48" t="s">
        <v>24</v>
      </c>
      <c r="B61" s="1" t="s">
        <v>25</v>
      </c>
      <c r="C61" s="98">
        <v>180</v>
      </c>
      <c r="D61" s="41">
        <f>15.18+3.19</f>
        <v>18.37</v>
      </c>
      <c r="E61" s="19">
        <f>12.72-6.81</f>
        <v>5.91</v>
      </c>
      <c r="F61" s="19">
        <v>8.16</v>
      </c>
      <c r="G61" s="19">
        <f>30.36-5.15</f>
        <v>25.21</v>
      </c>
      <c r="H61" s="19">
        <v>197.92</v>
      </c>
    </row>
    <row r="62" spans="1:17" customHeight="1" ht="18" s="8" customFormat="1">
      <c r="A62" s="45">
        <v>300</v>
      </c>
      <c r="B62" s="25" t="s">
        <v>33</v>
      </c>
      <c r="C62" s="99">
        <v>200</v>
      </c>
      <c r="D62" s="21">
        <v>3.52</v>
      </c>
      <c r="E62" s="4">
        <v>0.1</v>
      </c>
      <c r="F62" s="4">
        <v>0.0</v>
      </c>
      <c r="G62" s="4">
        <v>20.2</v>
      </c>
      <c r="H62" s="4">
        <v>81.2</v>
      </c>
    </row>
    <row r="63" spans="1:17" customHeight="1" ht="18">
      <c r="A63" s="91" t="s">
        <v>29</v>
      </c>
      <c r="B63" s="4" t="s">
        <v>14</v>
      </c>
      <c r="C63" s="51">
        <v>36</v>
      </c>
      <c r="D63" s="21">
        <v>3.76</v>
      </c>
      <c r="E63" s="4">
        <f>7.9/100*30</f>
        <v>2.37</v>
      </c>
      <c r="F63" s="4">
        <f>1/100*30</f>
        <v>0.3</v>
      </c>
      <c r="G63" s="4">
        <f>48.3/100*30</f>
        <v>14.49</v>
      </c>
      <c r="H63" s="4">
        <v>70.14</v>
      </c>
    </row>
    <row r="64" spans="1:17" customHeight="1" ht="18">
      <c r="A64" s="47"/>
      <c r="B64" s="9" t="s">
        <v>20</v>
      </c>
      <c r="C64" s="50">
        <f>SUM(C60:C63)</f>
        <v>506</v>
      </c>
      <c r="D64" s="86">
        <f>SUM(D60:D63)</f>
        <v>78</v>
      </c>
      <c r="E64" s="35">
        <f>SUM(E60:E63)</f>
        <v>15.4</v>
      </c>
      <c r="F64" s="35">
        <f>SUM(F60:F63)</f>
        <v>15.8</v>
      </c>
      <c r="G64" s="35">
        <f>SUM(G60:G63)</f>
        <v>67</v>
      </c>
      <c r="H64" s="35">
        <f>SUM(H60:H63)</f>
        <v>471.8</v>
      </c>
      <c r="I64" s="11">
        <v>77.36</v>
      </c>
      <c r="J64" s="121">
        <f>D64-I64</f>
        <v>0.64</v>
      </c>
    </row>
    <row r="65" spans="1:17" customHeight="1" ht="18">
      <c r="A65" s="235" t="s">
        <v>21</v>
      </c>
      <c r="B65" s="236"/>
      <c r="C65" s="54"/>
      <c r="D65" s="36"/>
      <c r="E65" s="18"/>
      <c r="F65" s="18"/>
      <c r="G65" s="18"/>
      <c r="H65" s="18"/>
    </row>
    <row r="66" spans="1:17" customHeight="1" ht="15.75">
      <c r="A66" s="92" t="s">
        <v>18</v>
      </c>
      <c r="B66" s="14" t="s">
        <v>39</v>
      </c>
      <c r="C66" s="51">
        <v>60</v>
      </c>
      <c r="D66" s="96">
        <v>7</v>
      </c>
      <c r="E66" s="22">
        <v>2.4</v>
      </c>
      <c r="F66" s="22">
        <v>0.9</v>
      </c>
      <c r="G66" s="22">
        <v>17.1</v>
      </c>
      <c r="H66" s="22">
        <v>83.4</v>
      </c>
    </row>
    <row r="67" spans="1:17" customHeight="1" ht="18" s="8" customFormat="1">
      <c r="A67" s="45">
        <v>55</v>
      </c>
      <c r="B67" s="14" t="s">
        <v>50</v>
      </c>
      <c r="C67" s="57">
        <v>220</v>
      </c>
      <c r="D67" s="41">
        <v>16.25</v>
      </c>
      <c r="E67" s="14">
        <v>2</v>
      </c>
      <c r="F67" s="14">
        <v>9.4</v>
      </c>
      <c r="G67" s="14">
        <v>17.8</v>
      </c>
      <c r="H67" s="14">
        <v>163.8</v>
      </c>
    </row>
    <row r="68" spans="1:17" customHeight="1" ht="18" s="8" customFormat="1">
      <c r="A68" s="92">
        <v>107</v>
      </c>
      <c r="B68" s="25" t="s">
        <v>51</v>
      </c>
      <c r="C68" s="57">
        <v>90</v>
      </c>
      <c r="D68" s="21">
        <v>32.13</v>
      </c>
      <c r="E68" s="22">
        <f>8.82+0.67</f>
        <v>9.49</v>
      </c>
      <c r="F68" s="22">
        <f>5.04+0.31</f>
        <v>5.35</v>
      </c>
      <c r="G68" s="22">
        <f>18.78-4.81</f>
        <v>13.97</v>
      </c>
      <c r="H68" s="22">
        <f>155.76-13.74</f>
        <v>142.02</v>
      </c>
    </row>
    <row r="69" spans="1:17" customHeight="1" ht="18">
      <c r="A69" s="92">
        <v>227</v>
      </c>
      <c r="B69" s="1" t="s">
        <v>52</v>
      </c>
      <c r="C69" s="57">
        <v>150</v>
      </c>
      <c r="D69" s="41">
        <v>11.49</v>
      </c>
      <c r="E69" s="31">
        <v>7.1253333333333</v>
      </c>
      <c r="F69" s="31">
        <v>7.69</v>
      </c>
      <c r="G69" s="31">
        <v>21.408</v>
      </c>
      <c r="H69" s="31">
        <v>183.34</v>
      </c>
    </row>
    <row r="70" spans="1:17" customHeight="1" ht="18">
      <c r="A70" s="45">
        <v>300</v>
      </c>
      <c r="B70" s="76" t="s">
        <v>53</v>
      </c>
      <c r="C70" s="51">
        <v>200</v>
      </c>
      <c r="D70" s="21">
        <v>7.73</v>
      </c>
      <c r="E70" s="4">
        <v>0.1</v>
      </c>
      <c r="F70" s="4">
        <v>0.0</v>
      </c>
      <c r="G70" s="4">
        <v>20.2</v>
      </c>
      <c r="H70" s="4">
        <v>81.2</v>
      </c>
    </row>
    <row r="71" spans="1:17" customHeight="1" ht="18">
      <c r="A71" s="101" t="s">
        <v>27</v>
      </c>
      <c r="B71" s="4" t="s">
        <v>28</v>
      </c>
      <c r="C71" s="51">
        <v>40</v>
      </c>
      <c r="D71" s="21">
        <v>3.4</v>
      </c>
      <c r="E71" s="2">
        <f>6.6/100*30</f>
        <v>1.98</v>
      </c>
      <c r="F71" s="52">
        <f>1.2/100*30</f>
        <v>0.36</v>
      </c>
      <c r="G71" s="2">
        <f>33.4/100*30</f>
        <v>10.02</v>
      </c>
      <c r="H71" s="2">
        <v>51.24</v>
      </c>
    </row>
    <row r="72" spans="1:17" customHeight="1" ht="18">
      <c r="A72" s="47"/>
      <c r="B72" s="9" t="s">
        <v>20</v>
      </c>
      <c r="C72" s="50">
        <f>SUM(C66:C71)</f>
        <v>760</v>
      </c>
      <c r="D72" s="35">
        <f>SUM(D66:D71)</f>
        <v>78</v>
      </c>
      <c r="E72" s="5">
        <f>SUM(E66:E71)</f>
        <v>23.095333333333</v>
      </c>
      <c r="F72" s="5">
        <f>SUM(F66:F71)</f>
        <v>23.7</v>
      </c>
      <c r="G72" s="5">
        <f>SUM(G66:G71)</f>
        <v>100.498</v>
      </c>
      <c r="H72" s="5">
        <f>SUM(H66:H71)</f>
        <v>705</v>
      </c>
      <c r="I72" s="114">
        <v>77.36</v>
      </c>
      <c r="J72" s="114">
        <f>D72-I72</f>
        <v>0.64000000000001</v>
      </c>
    </row>
    <row r="73" spans="1:17" customHeight="1" ht="18">
      <c r="A73" s="47"/>
      <c r="B73" s="3" t="s">
        <v>30</v>
      </c>
      <c r="C73" s="50"/>
      <c r="D73" s="64"/>
      <c r="E73" s="6">
        <f>E64+E72</f>
        <v>38.495333333333</v>
      </c>
      <c r="F73" s="6">
        <f>F64+F72</f>
        <v>39.5</v>
      </c>
      <c r="G73" s="6">
        <f>G64+G72</f>
        <v>167.498</v>
      </c>
      <c r="H73" s="6">
        <f>H64+H72</f>
        <v>1176.8</v>
      </c>
    </row>
    <row r="74" spans="1:17" customHeight="1" ht="18">
      <c r="A74" s="249" t="s">
        <v>54</v>
      </c>
      <c r="B74" s="249"/>
      <c r="C74" s="174"/>
      <c r="D74" s="18"/>
      <c r="E74" s="18"/>
      <c r="F74" s="18"/>
      <c r="G74" s="18"/>
      <c r="H74" s="18"/>
    </row>
    <row r="75" spans="1:17" customHeight="1" ht="18">
      <c r="A75" s="249" t="s">
        <v>42</v>
      </c>
      <c r="B75" s="249"/>
      <c r="C75" s="174"/>
      <c r="D75" s="36"/>
      <c r="E75" s="18"/>
      <c r="F75" s="10"/>
      <c r="G75" s="10"/>
      <c r="H75" s="18"/>
    </row>
    <row r="76" spans="1:17" customHeight="1" ht="18">
      <c r="A76" s="45">
        <v>110</v>
      </c>
      <c r="B76" s="93" t="s">
        <v>55</v>
      </c>
      <c r="C76" s="56">
        <v>100</v>
      </c>
      <c r="D76" s="21">
        <f>40.65+4.6-3.12</f>
        <v>42.13</v>
      </c>
      <c r="E76" s="31">
        <v>6.68</v>
      </c>
      <c r="F76" s="31">
        <v>2.82</v>
      </c>
      <c r="G76" s="31">
        <v>8.7</v>
      </c>
      <c r="H76" s="31">
        <v>72.9</v>
      </c>
    </row>
    <row r="77" spans="1:17" customHeight="1" ht="18">
      <c r="A77" s="92">
        <v>227</v>
      </c>
      <c r="B77" s="93" t="s">
        <v>56</v>
      </c>
      <c r="C77" s="51">
        <v>150</v>
      </c>
      <c r="D77" s="41">
        <v>14.61</v>
      </c>
      <c r="E77" s="17">
        <f>4.375-0.05</f>
        <v>4.325</v>
      </c>
      <c r="F77" s="17">
        <f>6.75-0.57</f>
        <v>6.18</v>
      </c>
      <c r="G77" s="17">
        <f>23.75-12.31</f>
        <v>11.44</v>
      </c>
      <c r="H77" s="17">
        <f>138.6-7.7</f>
        <v>130.9</v>
      </c>
    </row>
    <row r="78" spans="1:17" customHeight="1" ht="18">
      <c r="A78" s="91" t="s">
        <v>29</v>
      </c>
      <c r="B78" s="4" t="s">
        <v>14</v>
      </c>
      <c r="C78" s="51">
        <v>36</v>
      </c>
      <c r="D78" s="21">
        <v>3.76</v>
      </c>
      <c r="E78" s="4">
        <f>7.9/100*30</f>
        <v>2.37</v>
      </c>
      <c r="F78" s="4">
        <f>1/100*30</f>
        <v>0.3</v>
      </c>
      <c r="G78" s="4">
        <f>48.3/100*30</f>
        <v>14.49</v>
      </c>
      <c r="H78" s="4">
        <v>70.14</v>
      </c>
    </row>
    <row r="79" spans="1:17" customHeight="1" ht="18">
      <c r="A79" s="45">
        <v>300</v>
      </c>
      <c r="B79" s="25" t="s">
        <v>33</v>
      </c>
      <c r="C79" s="99">
        <v>200</v>
      </c>
      <c r="D79" s="21">
        <v>3.52</v>
      </c>
      <c r="E79" s="4">
        <v>0.1</v>
      </c>
      <c r="F79" s="4">
        <v>0.0</v>
      </c>
      <c r="G79" s="4">
        <v>20.2</v>
      </c>
      <c r="H79" s="4">
        <v>81.2</v>
      </c>
    </row>
    <row r="80" spans="1:17" customHeight="1" ht="18">
      <c r="A80" s="45" t="s">
        <v>18</v>
      </c>
      <c r="B80" s="27" t="s">
        <v>35</v>
      </c>
      <c r="C80" s="30">
        <v>60</v>
      </c>
      <c r="D80" s="41">
        <f>13.63+0.35</f>
        <v>13.98</v>
      </c>
      <c r="E80" s="17">
        <v>1.92</v>
      </c>
      <c r="F80" s="17">
        <v>6.5</v>
      </c>
      <c r="G80" s="17">
        <v>12.17</v>
      </c>
      <c r="H80" s="17">
        <v>114.86</v>
      </c>
    </row>
    <row r="81" spans="1:17" customHeight="1" ht="18">
      <c r="A81" s="47"/>
      <c r="B81" s="9" t="s">
        <v>20</v>
      </c>
      <c r="C81" s="50">
        <f>SUM(C76:C80)</f>
        <v>546</v>
      </c>
      <c r="D81" s="35">
        <f>SUM(D76:D80)</f>
        <v>78</v>
      </c>
      <c r="E81" s="5">
        <f>SUM(E76:E80)</f>
        <v>15.395</v>
      </c>
      <c r="F81" s="5">
        <f>SUM(F76:F80)</f>
        <v>15.8</v>
      </c>
      <c r="G81" s="5">
        <f>SUM(G76:G80)</f>
        <v>67</v>
      </c>
      <c r="H81" s="5">
        <f>SUM(H76:H80)</f>
        <v>470</v>
      </c>
      <c r="I81" s="11">
        <v>77.36</v>
      </c>
      <c r="J81" s="114">
        <f>D81-I81</f>
        <v>0.64</v>
      </c>
    </row>
    <row r="82" spans="1:17" customHeight="1" ht="18">
      <c r="A82" s="235" t="s">
        <v>21</v>
      </c>
      <c r="B82" s="236"/>
      <c r="C82" s="54"/>
      <c r="D82" s="36"/>
      <c r="E82" s="18"/>
      <c r="F82" s="18"/>
      <c r="G82" s="18"/>
      <c r="H82" s="18"/>
    </row>
    <row r="83" spans="1:17" customHeight="1" ht="18">
      <c r="A83" s="45">
        <v>65</v>
      </c>
      <c r="B83" s="20" t="s">
        <v>57</v>
      </c>
      <c r="C83" s="62">
        <v>250</v>
      </c>
      <c r="D83" s="38">
        <v>12.11</v>
      </c>
      <c r="E83" s="13">
        <v>7.3</v>
      </c>
      <c r="F83" s="13">
        <f>4.4+3</f>
        <v>7.4</v>
      </c>
      <c r="G83" s="13">
        <v>27.8</v>
      </c>
      <c r="H83" s="13">
        <v>207</v>
      </c>
    </row>
    <row r="84" spans="1:17" customHeight="1" ht="18">
      <c r="A84" s="45">
        <v>259</v>
      </c>
      <c r="B84" s="25" t="s">
        <v>58</v>
      </c>
      <c r="C84" s="56">
        <v>220</v>
      </c>
      <c r="D84" s="21">
        <f>52.57+2.83</f>
        <v>55.4</v>
      </c>
      <c r="E84" s="63">
        <f>14.5-0.88</f>
        <v>13.62</v>
      </c>
      <c r="F84" s="63">
        <f>18.8-2.96</f>
        <v>15.84</v>
      </c>
      <c r="G84" s="63">
        <f>42.87+2.61</f>
        <v>45.48</v>
      </c>
      <c r="H84" s="63">
        <f>372.04+4.72</f>
        <v>376.76</v>
      </c>
    </row>
    <row r="85" spans="1:17" customHeight="1" ht="18" s="8" customFormat="1">
      <c r="A85" s="45">
        <v>300</v>
      </c>
      <c r="B85" s="25" t="s">
        <v>40</v>
      </c>
      <c r="C85" s="51">
        <v>200</v>
      </c>
      <c r="D85" s="21">
        <v>7.09</v>
      </c>
      <c r="E85" s="22">
        <v>0.2</v>
      </c>
      <c r="F85" s="22">
        <v>0.1</v>
      </c>
      <c r="G85" s="22">
        <v>17.2</v>
      </c>
      <c r="H85" s="13">
        <v>70</v>
      </c>
    </row>
    <row r="86" spans="1:17" customHeight="1" ht="18" s="8" customFormat="1">
      <c r="A86" s="48" t="s">
        <v>27</v>
      </c>
      <c r="B86" s="4" t="s">
        <v>28</v>
      </c>
      <c r="C86" s="51">
        <v>37</v>
      </c>
      <c r="D86" s="21">
        <v>3.4</v>
      </c>
      <c r="E86" s="2">
        <f>6.6/100*30</f>
        <v>1.98</v>
      </c>
      <c r="F86" s="52">
        <f>1.2/100*30</f>
        <v>0.36</v>
      </c>
      <c r="G86" s="2">
        <f>33.4/100*30</f>
        <v>10.02</v>
      </c>
      <c r="H86" s="2">
        <v>51.24</v>
      </c>
    </row>
    <row r="87" spans="1:17" customHeight="1" ht="18">
      <c r="A87" s="47"/>
      <c r="B87" s="9" t="s">
        <v>20</v>
      </c>
      <c r="C87" s="50">
        <f>SUM(C83:C86)</f>
        <v>707</v>
      </c>
      <c r="D87" s="35">
        <f>SUM(D83:D86)</f>
        <v>78</v>
      </c>
      <c r="E87" s="5">
        <f>SUM(E83:E86)</f>
        <v>23.1</v>
      </c>
      <c r="F87" s="5">
        <f>SUM(F83:F86)</f>
        <v>23.7</v>
      </c>
      <c r="G87" s="5">
        <f>SUM(G83:G86)</f>
        <v>100.5</v>
      </c>
      <c r="H87" s="5">
        <f>SUM(H83:H86)</f>
        <v>705</v>
      </c>
      <c r="I87" s="11">
        <v>77.36</v>
      </c>
      <c r="J87" s="114">
        <f>D87-I87</f>
        <v>0.64</v>
      </c>
    </row>
    <row r="88" spans="1:17" customHeight="1" ht="18">
      <c r="A88" s="47"/>
      <c r="B88" s="3" t="s">
        <v>30</v>
      </c>
      <c r="C88" s="50"/>
      <c r="D88" s="35"/>
      <c r="E88" s="6">
        <f>E81+E87</f>
        <v>38.495</v>
      </c>
      <c r="F88" s="6">
        <f>F81+F87</f>
        <v>39.5</v>
      </c>
      <c r="G88" s="6">
        <f>G81+G87</f>
        <v>167.5</v>
      </c>
      <c r="H88" s="6">
        <f>H81+H87</f>
        <v>1175</v>
      </c>
    </row>
    <row r="89" spans="1:17" customHeight="1" ht="18">
      <c r="A89" s="249" t="s">
        <v>59</v>
      </c>
      <c r="B89" s="249"/>
      <c r="C89" s="174"/>
      <c r="D89" s="18"/>
      <c r="E89" s="18"/>
      <c r="F89" s="18"/>
      <c r="G89" s="18"/>
      <c r="H89" s="18"/>
    </row>
    <row r="90" spans="1:17" customHeight="1" ht="18">
      <c r="A90" s="249" t="s">
        <v>42</v>
      </c>
      <c r="B90" s="249"/>
      <c r="C90" s="174"/>
      <c r="D90" s="36"/>
      <c r="E90" s="115"/>
      <c r="F90" s="115"/>
      <c r="G90" s="115"/>
      <c r="H90" s="115"/>
    </row>
    <row r="91" spans="1:17" customHeight="1" ht="18">
      <c r="A91" s="45">
        <v>208</v>
      </c>
      <c r="B91" s="4" t="s">
        <v>60</v>
      </c>
      <c r="C91" s="118" t="s">
        <v>149</v>
      </c>
      <c r="D91" s="41">
        <f>37.09-2.47-3.04-3</f>
        <v>28.58</v>
      </c>
      <c r="E91" s="17">
        <f>8.2716049382716+1.86+2-1</f>
        <v>11.131604938272</v>
      </c>
      <c r="F91" s="17">
        <f>13.744938271605-1.68</f>
        <v>12.064938271605</v>
      </c>
      <c r="G91" s="17">
        <f>40.246913580247-2.64-16+2.48</f>
        <v>24.086913580247</v>
      </c>
      <c r="H91" s="73">
        <f>258.66-11.05</f>
        <v>247.61</v>
      </c>
    </row>
    <row r="92" spans="1:17" customHeight="1" ht="18">
      <c r="A92" s="91" t="s">
        <v>29</v>
      </c>
      <c r="B92" s="4" t="s">
        <v>14</v>
      </c>
      <c r="C92" s="51">
        <v>46</v>
      </c>
      <c r="D92" s="21">
        <v>4.8</v>
      </c>
      <c r="E92" s="4">
        <f>7.9/100*30</f>
        <v>2.37</v>
      </c>
      <c r="F92" s="4">
        <f>1/100*30</f>
        <v>0.3</v>
      </c>
      <c r="G92" s="4">
        <f>48.3/100*30</f>
        <v>14.49</v>
      </c>
      <c r="H92" s="4">
        <v>70.14</v>
      </c>
    </row>
    <row r="93" spans="1:17" customHeight="1" ht="15.75">
      <c r="A93" s="45" t="s">
        <v>18</v>
      </c>
      <c r="B93" s="27" t="s">
        <v>35</v>
      </c>
      <c r="C93" s="30">
        <v>30</v>
      </c>
      <c r="D93" s="41">
        <v>15.63</v>
      </c>
      <c r="E93" s="17">
        <v>0.96</v>
      </c>
      <c r="F93" s="17">
        <v>3.25</v>
      </c>
      <c r="G93" s="17">
        <v>6.085</v>
      </c>
      <c r="H93" s="17">
        <v>57.43</v>
      </c>
    </row>
    <row r="94" spans="1:17" customHeight="1" ht="15.75">
      <c r="A94" s="45">
        <v>300</v>
      </c>
      <c r="B94" s="25" t="s">
        <v>16</v>
      </c>
      <c r="C94" s="118" t="s">
        <v>17</v>
      </c>
      <c r="D94" s="21">
        <v>5.99</v>
      </c>
      <c r="E94" s="4">
        <v>0.1</v>
      </c>
      <c r="F94" s="4">
        <v>0.0</v>
      </c>
      <c r="G94" s="4">
        <v>20.2</v>
      </c>
      <c r="H94" s="4">
        <v>81.2</v>
      </c>
    </row>
    <row r="95" spans="1:17" customHeight="1" ht="18">
      <c r="A95" s="45" t="s">
        <v>18</v>
      </c>
      <c r="B95" s="14" t="s">
        <v>34</v>
      </c>
      <c r="C95" s="30">
        <v>100</v>
      </c>
      <c r="D95" s="41">
        <v>23</v>
      </c>
      <c r="E95" s="17">
        <v>0.84115384615385</v>
      </c>
      <c r="F95" s="17">
        <v>0.18692307692308</v>
      </c>
      <c r="G95" s="17">
        <v>2.1426923076923</v>
      </c>
      <c r="H95" s="17">
        <v>13.62</v>
      </c>
    </row>
    <row r="96" spans="1:17" customHeight="1" ht="18">
      <c r="A96" s="45"/>
      <c r="B96" s="9" t="s">
        <v>20</v>
      </c>
      <c r="C96" s="50">
        <f>210+40+30+200+100</f>
        <v>580</v>
      </c>
      <c r="D96" s="35">
        <f>SUM(D91:D95)</f>
        <v>78</v>
      </c>
      <c r="E96" s="35">
        <f>SUM(E91:E95)</f>
        <v>15.402758784425</v>
      </c>
      <c r="F96" s="35">
        <f>SUM(F91:F95)</f>
        <v>15.801861348528</v>
      </c>
      <c r="G96" s="35">
        <f>SUM(G91:G95)</f>
        <v>67.004605887939</v>
      </c>
      <c r="H96" s="35">
        <f>SUM(H91:H95)</f>
        <v>470</v>
      </c>
      <c r="I96" s="11">
        <v>77.36</v>
      </c>
      <c r="J96" s="114">
        <f>D96-I96</f>
        <v>0.64</v>
      </c>
      <c r="N96" s="114"/>
    </row>
    <row r="97" spans="1:17" customHeight="1" ht="18">
      <c r="A97" s="235" t="s">
        <v>21</v>
      </c>
      <c r="B97" s="236"/>
      <c r="C97" s="34"/>
      <c r="D97" s="36"/>
      <c r="E97" s="18"/>
      <c r="F97" s="18"/>
      <c r="G97" s="18"/>
      <c r="H97" s="18"/>
    </row>
    <row r="98" spans="1:17" customHeight="1" ht="18">
      <c r="A98" s="45">
        <v>62</v>
      </c>
      <c r="B98" s="87" t="s">
        <v>62</v>
      </c>
      <c r="C98" s="58">
        <v>220</v>
      </c>
      <c r="D98" s="41">
        <v>14.025</v>
      </c>
      <c r="E98" s="16">
        <v>6.38</v>
      </c>
      <c r="F98" s="16">
        <v>7.73</v>
      </c>
      <c r="G98" s="16">
        <v>30.58</v>
      </c>
      <c r="H98" s="16">
        <v>215.41</v>
      </c>
    </row>
    <row r="99" spans="1:17" customHeight="1" ht="18">
      <c r="A99" s="45">
        <v>107</v>
      </c>
      <c r="B99" s="93" t="s">
        <v>63</v>
      </c>
      <c r="C99" s="60">
        <v>90</v>
      </c>
      <c r="D99" s="21">
        <f>36.51+3.12+2.22</f>
        <v>41.85</v>
      </c>
      <c r="E99" s="22">
        <f>8.82+3-4.41</f>
        <v>7.41</v>
      </c>
      <c r="F99" s="22">
        <f>7.05+0.77</f>
        <v>7.82</v>
      </c>
      <c r="G99" s="22">
        <f>20.78+0.51</f>
        <v>21.29</v>
      </c>
      <c r="H99" s="22">
        <v>185.18</v>
      </c>
    </row>
    <row r="100" spans="1:17" customHeight="1" ht="18" s="8" customFormat="1">
      <c r="A100" s="45">
        <v>227</v>
      </c>
      <c r="B100" s="1" t="s">
        <v>52</v>
      </c>
      <c r="C100" s="57">
        <v>150</v>
      </c>
      <c r="D100" s="41">
        <v>11.49</v>
      </c>
      <c r="E100" s="31">
        <v>7.1253333333333</v>
      </c>
      <c r="F100" s="31">
        <v>7.69</v>
      </c>
      <c r="G100" s="31">
        <v>21.408</v>
      </c>
      <c r="H100" s="31">
        <v>183.34</v>
      </c>
    </row>
    <row r="101" spans="1:17" customHeight="1" ht="18">
      <c r="A101" s="45">
        <v>311</v>
      </c>
      <c r="B101" s="13" t="s">
        <v>64</v>
      </c>
      <c r="C101" s="30">
        <v>200</v>
      </c>
      <c r="D101" s="21">
        <f>5.73+0.31+1.19</f>
        <v>7.23</v>
      </c>
      <c r="E101" s="22">
        <v>0.2</v>
      </c>
      <c r="F101" s="22">
        <v>0.1</v>
      </c>
      <c r="G101" s="22">
        <v>17.2</v>
      </c>
      <c r="H101" s="13">
        <v>70</v>
      </c>
    </row>
    <row r="102" spans="1:17" customHeight="1" ht="18">
      <c r="A102" s="48" t="s">
        <v>27</v>
      </c>
      <c r="B102" s="76" t="s">
        <v>28</v>
      </c>
      <c r="C102" s="51">
        <v>40</v>
      </c>
      <c r="D102" s="21">
        <v>3.4</v>
      </c>
      <c r="E102" s="2">
        <f>6.6/100*30</f>
        <v>1.98</v>
      </c>
      <c r="F102" s="52">
        <f>1.2/100*30</f>
        <v>0.36</v>
      </c>
      <c r="G102" s="2">
        <f>33.4/100*30</f>
        <v>10.02</v>
      </c>
      <c r="H102" s="2">
        <v>51.24</v>
      </c>
    </row>
    <row r="103" spans="1:17" customHeight="1" ht="18">
      <c r="A103" s="47"/>
      <c r="B103" s="9" t="s">
        <v>20</v>
      </c>
      <c r="C103" s="50">
        <f>SUM(C98:C102)</f>
        <v>700</v>
      </c>
      <c r="D103" s="35">
        <f>SUM(D98:D102)</f>
        <v>77.995</v>
      </c>
      <c r="E103" s="35">
        <f>SUM(E98:E102)</f>
        <v>23.095333333333</v>
      </c>
      <c r="F103" s="35">
        <f>SUM(F98:F102)</f>
        <v>23.7</v>
      </c>
      <c r="G103" s="35">
        <f>SUM(G98:G102)</f>
        <v>100.498</v>
      </c>
      <c r="H103" s="35">
        <f>SUM(H98:H102)</f>
        <v>705.17</v>
      </c>
      <c r="I103" s="11">
        <v>77.36</v>
      </c>
      <c r="J103" s="114">
        <f>D103-I103</f>
        <v>0.63500000000001</v>
      </c>
    </row>
    <row r="104" spans="1:17" customHeight="1" ht="18">
      <c r="A104" s="47"/>
      <c r="B104" s="3" t="s">
        <v>30</v>
      </c>
      <c r="C104" s="50"/>
      <c r="D104" s="35"/>
      <c r="E104" s="35">
        <f>E96+E103</f>
        <v>38.498092117759</v>
      </c>
      <c r="F104" s="35">
        <f>F96+F103</f>
        <v>39.501861348528</v>
      </c>
      <c r="G104" s="35">
        <f>G96+G103</f>
        <v>167.50260588794</v>
      </c>
      <c r="H104" s="35">
        <f>H96+H103</f>
        <v>1175.17</v>
      </c>
    </row>
    <row r="105" spans="1:17" customHeight="1" ht="18">
      <c r="A105" s="249" t="s">
        <v>65</v>
      </c>
      <c r="B105" s="249"/>
      <c r="C105" s="174"/>
      <c r="D105" s="18"/>
      <c r="E105" s="18"/>
      <c r="F105" s="18"/>
      <c r="G105" s="18"/>
      <c r="H105" s="18"/>
    </row>
    <row r="106" spans="1:17" customHeight="1" ht="39.75">
      <c r="A106" s="249" t="s">
        <v>11</v>
      </c>
      <c r="B106" s="249"/>
      <c r="C106" s="174"/>
      <c r="D106" s="36"/>
      <c r="E106" s="18"/>
      <c r="F106" s="18"/>
      <c r="G106" s="18"/>
      <c r="H106" s="18"/>
    </row>
    <row r="107" spans="1:17" customHeight="1" ht="15.75">
      <c r="A107" s="45">
        <v>241</v>
      </c>
      <c r="B107" s="27" t="s">
        <v>66</v>
      </c>
      <c r="C107" s="51">
        <v>130</v>
      </c>
      <c r="D107" s="108">
        <f>37.6-0.35+0.02</f>
        <v>37.27</v>
      </c>
      <c r="E107" s="108">
        <f>11.6+0.54</f>
        <v>12.14</v>
      </c>
      <c r="F107" s="108">
        <f>15.2-1.32</f>
        <v>13.88</v>
      </c>
      <c r="G107" s="108">
        <f>7.2+25.47-8.4-0.57</f>
        <v>23.7</v>
      </c>
      <c r="H107" s="108">
        <f>280.28-13.88</f>
        <v>266.4</v>
      </c>
    </row>
    <row r="108" spans="1:17" customHeight="1" ht="18">
      <c r="A108" s="45" t="s">
        <v>18</v>
      </c>
      <c r="B108" s="14" t="s">
        <v>67</v>
      </c>
      <c r="C108" s="30">
        <v>50</v>
      </c>
      <c r="D108" s="41">
        <f>9.95+3.19+0.64</f>
        <v>13.78</v>
      </c>
      <c r="E108" s="17">
        <v>1.62</v>
      </c>
      <c r="F108" s="17">
        <v>1.58</v>
      </c>
      <c r="G108" s="17">
        <v>19.17</v>
      </c>
      <c r="H108" s="17">
        <v>97.43</v>
      </c>
    </row>
    <row r="109" spans="1:17" customHeight="1" ht="18">
      <c r="A109" s="45">
        <v>300</v>
      </c>
      <c r="B109" s="25" t="s">
        <v>33</v>
      </c>
      <c r="C109" s="51">
        <v>200</v>
      </c>
      <c r="D109" s="109">
        <v>3.52</v>
      </c>
      <c r="E109" s="108">
        <v>0.1</v>
      </c>
      <c r="F109" s="108">
        <v>0.0</v>
      </c>
      <c r="G109" s="108">
        <v>20.2</v>
      </c>
      <c r="H109" s="108">
        <v>81.2</v>
      </c>
    </row>
    <row r="110" spans="1:17" customHeight="1" ht="18">
      <c r="A110" s="45" t="s">
        <v>18</v>
      </c>
      <c r="B110" s="14" t="s">
        <v>34</v>
      </c>
      <c r="C110" s="30">
        <v>120</v>
      </c>
      <c r="D110" s="108">
        <f>30.23/130*110-2.15</f>
        <v>23.429230769231</v>
      </c>
      <c r="E110" s="108">
        <v>1.5421153846154</v>
      </c>
      <c r="F110" s="108">
        <v>0.34269230769231</v>
      </c>
      <c r="G110" s="108">
        <v>3.9282692307692</v>
      </c>
      <c r="H110" s="108">
        <v>24.97</v>
      </c>
    </row>
    <row r="111" spans="1:17" customHeight="1" ht="18">
      <c r="A111" s="47"/>
      <c r="B111" s="9" t="s">
        <v>20</v>
      </c>
      <c r="C111" s="50">
        <f>SUM(C107:C110)</f>
        <v>500</v>
      </c>
      <c r="D111" s="35">
        <f>SUM(D107:D110)</f>
        <v>77.999230769231</v>
      </c>
      <c r="E111" s="35">
        <f>SUM(E107:E110)</f>
        <v>15.402115384615</v>
      </c>
      <c r="F111" s="35">
        <f>SUM(F107:F110)</f>
        <v>15.802692307692</v>
      </c>
      <c r="G111" s="35">
        <f>SUM(G107:G110)</f>
        <v>66.998269230769</v>
      </c>
      <c r="H111" s="35">
        <f>SUM(H107:H110)</f>
        <v>470</v>
      </c>
      <c r="I111" s="11">
        <v>77.36</v>
      </c>
      <c r="J111" s="114">
        <f>D111-I111</f>
        <v>0.63923076923078</v>
      </c>
      <c r="N111" s="114"/>
    </row>
    <row r="112" spans="1:17" customHeight="1" ht="18">
      <c r="A112" s="236" t="s">
        <v>21</v>
      </c>
      <c r="B112" s="236"/>
      <c r="C112" s="34"/>
      <c r="D112" s="36"/>
      <c r="E112" s="18"/>
      <c r="F112" s="18"/>
      <c r="G112" s="18"/>
      <c r="H112" s="18"/>
    </row>
    <row r="113" spans="1:17" customHeight="1" ht="18">
      <c r="A113" s="45">
        <v>55</v>
      </c>
      <c r="B113" s="14" t="s">
        <v>50</v>
      </c>
      <c r="C113" s="57">
        <v>220</v>
      </c>
      <c r="D113" s="41">
        <v>16.25</v>
      </c>
      <c r="E113" s="14">
        <v>2</v>
      </c>
      <c r="F113" s="14">
        <v>9.4</v>
      </c>
      <c r="G113" s="14">
        <v>17.8</v>
      </c>
      <c r="H113" s="14">
        <v>163.8</v>
      </c>
    </row>
    <row r="114" spans="1:17" customHeight="1" ht="18" s="8" customFormat="1">
      <c r="A114" s="48" t="s">
        <v>68</v>
      </c>
      <c r="B114" s="1" t="s">
        <v>150</v>
      </c>
      <c r="C114" s="56">
        <v>90</v>
      </c>
      <c r="D114" s="21">
        <f>45.64</f>
        <v>45.64</v>
      </c>
      <c r="E114" s="63">
        <f>8.8+3.55</f>
        <v>12.35</v>
      </c>
      <c r="F114" s="31">
        <f>15.3-7.23</f>
        <v>8.07</v>
      </c>
      <c r="G114" s="31">
        <f>16.1+11.05-5</f>
        <v>22.15</v>
      </c>
      <c r="H114" s="31">
        <f>229.3-1.34</f>
        <v>227.96</v>
      </c>
    </row>
    <row r="115" spans="1:17" customHeight="1" ht="18" s="8" customFormat="1">
      <c r="A115" s="45">
        <v>227</v>
      </c>
      <c r="B115" s="32" t="s">
        <v>70</v>
      </c>
      <c r="C115" s="60">
        <v>150</v>
      </c>
      <c r="D115" s="41">
        <v>9.19</v>
      </c>
      <c r="E115" s="31">
        <v>6.6666666666667</v>
      </c>
      <c r="F115" s="31">
        <v>5.8666666666667</v>
      </c>
      <c r="G115" s="31">
        <f>53.333333333333-28</f>
        <v>25.333333333333</v>
      </c>
      <c r="H115" s="31">
        <v>180.8</v>
      </c>
    </row>
    <row r="116" spans="1:17" customHeight="1" ht="18">
      <c r="A116" s="45">
        <v>300</v>
      </c>
      <c r="B116" s="25" t="s">
        <v>33</v>
      </c>
      <c r="C116" s="51">
        <v>200</v>
      </c>
      <c r="D116" s="109">
        <v>3.52</v>
      </c>
      <c r="E116" s="108">
        <v>0.1</v>
      </c>
      <c r="F116" s="108">
        <v>0.0</v>
      </c>
      <c r="G116" s="108">
        <v>20.2</v>
      </c>
      <c r="H116" s="108">
        <v>81.2</v>
      </c>
    </row>
    <row r="117" spans="1:17" customHeight="1" ht="18">
      <c r="A117" s="48" t="s">
        <v>27</v>
      </c>
      <c r="B117" s="4" t="s">
        <v>28</v>
      </c>
      <c r="C117" s="51">
        <v>40</v>
      </c>
      <c r="D117" s="21">
        <v>3.4</v>
      </c>
      <c r="E117" s="2">
        <f>6.6/100*30</f>
        <v>1.98</v>
      </c>
      <c r="F117" s="52">
        <f>1.2/100*30</f>
        <v>0.36</v>
      </c>
      <c r="G117" s="2">
        <f>33.4/100*30</f>
        <v>10.02</v>
      </c>
      <c r="H117" s="2">
        <v>51.24</v>
      </c>
    </row>
    <row r="118" spans="1:17" customHeight="1" ht="18">
      <c r="A118" s="47"/>
      <c r="B118" s="9" t="s">
        <v>20</v>
      </c>
      <c r="C118" s="50">
        <f>SUM(C113:C117)</f>
        <v>700</v>
      </c>
      <c r="D118" s="75">
        <f>SUM(D113:D117)</f>
        <v>78</v>
      </c>
      <c r="E118" s="110">
        <f>SUM(E113:E117)</f>
        <v>23.096666666667</v>
      </c>
      <c r="F118" s="110">
        <f>SUM(F113:F117)</f>
        <v>23.696666666667</v>
      </c>
      <c r="G118" s="110">
        <f>SUM(G113:G117)</f>
        <v>95.503333333333</v>
      </c>
      <c r="H118" s="110">
        <f>SUM(H113:H117)</f>
        <v>705</v>
      </c>
      <c r="I118" s="11">
        <v>77.36</v>
      </c>
      <c r="J118" s="114">
        <f>D118-I118</f>
        <v>0.64</v>
      </c>
    </row>
    <row r="119" spans="1:17" customHeight="1" ht="18">
      <c r="A119" s="47"/>
      <c r="B119" s="3" t="s">
        <v>30</v>
      </c>
      <c r="C119" s="50"/>
      <c r="D119" s="35"/>
      <c r="E119" s="35">
        <f>E111+E118</f>
        <v>38.498782051282</v>
      </c>
      <c r="F119" s="35">
        <f>F111+F118</f>
        <v>39.499358974359</v>
      </c>
      <c r="G119" s="35">
        <f>G111+G118</f>
        <v>162.5016025641</v>
      </c>
      <c r="H119" s="35">
        <f>H111+H118</f>
        <v>1175</v>
      </c>
    </row>
    <row r="120" spans="1:17" customHeight="1" ht="18">
      <c r="A120" s="249" t="s">
        <v>71</v>
      </c>
      <c r="B120" s="249"/>
      <c r="C120" s="174"/>
      <c r="D120" s="18"/>
      <c r="E120" s="18"/>
      <c r="F120" s="18"/>
      <c r="G120" s="18"/>
      <c r="H120" s="18"/>
    </row>
    <row r="121" spans="1:17" customHeight="1" ht="18">
      <c r="A121" s="249" t="s">
        <v>42</v>
      </c>
      <c r="B121" s="249"/>
      <c r="C121" s="174"/>
      <c r="D121" s="36"/>
      <c r="E121" s="10"/>
      <c r="F121" s="10"/>
      <c r="G121" s="10"/>
      <c r="H121" s="18"/>
    </row>
    <row r="122" spans="1:17" customHeight="1" ht="18" s="8" customFormat="1">
      <c r="A122" s="45">
        <v>110</v>
      </c>
      <c r="B122" s="93" t="s">
        <v>72</v>
      </c>
      <c r="C122" s="56">
        <v>90</v>
      </c>
      <c r="D122" s="21">
        <f>49.46+0.02+2-2.47</f>
        <v>49.01</v>
      </c>
      <c r="E122" s="31">
        <f>7.6666666666667+0.07</f>
        <v>7.7366666666667</v>
      </c>
      <c r="F122" s="31">
        <f>11.222222222222-1.59-1.55</f>
        <v>8.082222222222</v>
      </c>
      <c r="G122" s="31">
        <f>9.6666666666667-2.69+11.61</f>
        <v>18.586666666667</v>
      </c>
      <c r="H122" s="31">
        <f>145.26+16.32</f>
        <v>161.58</v>
      </c>
    </row>
    <row r="123" spans="1:17" customHeight="1" ht="18">
      <c r="A123" s="45">
        <v>227</v>
      </c>
      <c r="B123" s="25" t="s">
        <v>56</v>
      </c>
      <c r="C123" s="56">
        <v>180</v>
      </c>
      <c r="D123" s="41">
        <f>14.61/150*180</f>
        <v>17.532</v>
      </c>
      <c r="E123" s="31">
        <v>5.19</v>
      </c>
      <c r="F123" s="31">
        <v>7.416</v>
      </c>
      <c r="G123" s="31">
        <v>13.728</v>
      </c>
      <c r="H123" s="31">
        <v>157.08</v>
      </c>
    </row>
    <row r="124" spans="1:17" customHeight="1" ht="18">
      <c r="A124" s="45">
        <v>300</v>
      </c>
      <c r="B124" s="25" t="s">
        <v>16</v>
      </c>
      <c r="C124" s="118" t="s">
        <v>17</v>
      </c>
      <c r="D124" s="21">
        <v>5.99</v>
      </c>
      <c r="E124" s="4">
        <v>0.1</v>
      </c>
      <c r="F124" s="4">
        <v>0.0</v>
      </c>
      <c r="G124" s="4">
        <v>20.2</v>
      </c>
      <c r="H124" s="4">
        <v>81.2</v>
      </c>
    </row>
    <row r="125" spans="1:17" customHeight="1" ht="18">
      <c r="A125" s="48" t="s">
        <v>29</v>
      </c>
      <c r="B125" s="4" t="s">
        <v>14</v>
      </c>
      <c r="C125" s="51">
        <v>50</v>
      </c>
      <c r="D125" s="21">
        <f>4.83+0.64</f>
        <v>5.47</v>
      </c>
      <c r="E125" s="4">
        <f>7.9/100*30</f>
        <v>2.37</v>
      </c>
      <c r="F125" s="4">
        <f>1/100*30</f>
        <v>0.3</v>
      </c>
      <c r="G125" s="4">
        <f>48.3/100*30</f>
        <v>14.49</v>
      </c>
      <c r="H125" s="4">
        <v>70.14</v>
      </c>
      <c r="J125" s="114"/>
      <c r="Q125" s="114"/>
    </row>
    <row r="126" spans="1:17" customHeight="1" ht="18">
      <c r="A126" s="47"/>
      <c r="B126" s="9" t="s">
        <v>20</v>
      </c>
      <c r="C126" s="50">
        <f>SUM(C122:C125)+205</f>
        <v>525</v>
      </c>
      <c r="D126" s="6">
        <f>SUM(D122:D125)</f>
        <v>78.002</v>
      </c>
      <c r="E126" s="5">
        <f>SUM(E122:E125)</f>
        <v>15.396666666667</v>
      </c>
      <c r="F126" s="5">
        <f>SUM(F122:F125)</f>
        <v>15.798222222222</v>
      </c>
      <c r="G126" s="5">
        <f>SUM(G122:G125)</f>
        <v>67.004666666667</v>
      </c>
      <c r="H126" s="5">
        <f>SUM(H122:H125)</f>
        <v>470</v>
      </c>
      <c r="I126" s="11">
        <v>77.36</v>
      </c>
      <c r="J126" s="114">
        <f>D126-I126</f>
        <v>0.642</v>
      </c>
      <c r="N126" s="114"/>
    </row>
    <row r="127" spans="1:17" customHeight="1" ht="18">
      <c r="A127" s="235" t="s">
        <v>21</v>
      </c>
      <c r="B127" s="236"/>
      <c r="C127" s="54"/>
      <c r="D127" s="36"/>
      <c r="E127" s="18"/>
      <c r="F127" s="18"/>
      <c r="G127" s="18"/>
      <c r="H127" s="18"/>
    </row>
    <row r="128" spans="1:17" customHeight="1" ht="33.75">
      <c r="A128" s="111">
        <v>56</v>
      </c>
      <c r="B128" s="87" t="s">
        <v>73</v>
      </c>
      <c r="C128" s="112">
        <v>210</v>
      </c>
      <c r="D128" s="38">
        <f>17.88-5.63</f>
        <v>12.25</v>
      </c>
      <c r="E128" s="25">
        <f>2.4+1.88</f>
        <v>4.28</v>
      </c>
      <c r="F128" s="25">
        <v>4</v>
      </c>
      <c r="G128" s="25">
        <f>18.5+8.3</f>
        <v>26.8</v>
      </c>
      <c r="H128" s="25">
        <f>160.32-3</f>
        <v>157.32</v>
      </c>
    </row>
    <row r="129" spans="1:17" customHeight="1" ht="18" s="8" customFormat="1">
      <c r="A129" s="45">
        <v>96</v>
      </c>
      <c r="B129" s="25" t="s">
        <v>74</v>
      </c>
      <c r="C129" s="57">
        <v>60</v>
      </c>
      <c r="D129" s="21">
        <v>7.2</v>
      </c>
      <c r="E129" s="16">
        <v>4.02</v>
      </c>
      <c r="F129" s="16">
        <v>1.34</v>
      </c>
      <c r="G129" s="16">
        <v>15.1</v>
      </c>
      <c r="H129" s="16">
        <v>88.54</v>
      </c>
    </row>
    <row r="130" spans="1:17" customHeight="1" ht="18" s="8" customFormat="1">
      <c r="A130" s="45">
        <v>158</v>
      </c>
      <c r="B130" s="13" t="s">
        <v>37</v>
      </c>
      <c r="C130" s="57">
        <v>220</v>
      </c>
      <c r="D130" s="41">
        <f>41.11+3.19</f>
        <v>44.3</v>
      </c>
      <c r="E130" s="14">
        <v>10.35</v>
      </c>
      <c r="F130" s="19">
        <f>13.2/180*220+1.61</f>
        <v>17.743333333333</v>
      </c>
      <c r="G130" s="19">
        <f>15.06+1.08-2.25</f>
        <v>13.89</v>
      </c>
      <c r="H130" s="15">
        <f>256.65+0.47</f>
        <v>257.12</v>
      </c>
    </row>
    <row r="131" spans="1:17" customHeight="1" ht="18">
      <c r="A131" s="45">
        <v>300</v>
      </c>
      <c r="B131" s="76" t="s">
        <v>26</v>
      </c>
      <c r="C131" s="51">
        <v>200</v>
      </c>
      <c r="D131" s="21">
        <v>7.73</v>
      </c>
      <c r="E131" s="4">
        <v>0.1</v>
      </c>
      <c r="F131" s="4">
        <v>0.0</v>
      </c>
      <c r="G131" s="4">
        <v>20.2</v>
      </c>
      <c r="H131" s="4">
        <v>81.2</v>
      </c>
    </row>
    <row r="132" spans="1:17" customHeight="1" ht="18">
      <c r="A132" s="48" t="s">
        <v>27</v>
      </c>
      <c r="B132" s="4" t="s">
        <v>28</v>
      </c>
      <c r="C132" s="51">
        <v>37</v>
      </c>
      <c r="D132" s="21">
        <v>3.4</v>
      </c>
      <c r="E132" s="2">
        <f>6.6/100*30</f>
        <v>1.98</v>
      </c>
      <c r="F132" s="52">
        <f>1.2/100*30</f>
        <v>0.36</v>
      </c>
      <c r="G132" s="2">
        <f>33.4/100*30</f>
        <v>10.02</v>
      </c>
      <c r="H132" s="2">
        <v>51.24</v>
      </c>
    </row>
    <row r="133" spans="1:17" customHeight="1" ht="18">
      <c r="A133" s="48" t="s">
        <v>29</v>
      </c>
      <c r="B133" s="4" t="s">
        <v>14</v>
      </c>
      <c r="C133" s="51">
        <v>30</v>
      </c>
      <c r="D133" s="21">
        <v>3.12</v>
      </c>
      <c r="E133" s="4">
        <f>7.9/100*30</f>
        <v>2.37</v>
      </c>
      <c r="F133" s="4">
        <f>1/100*30</f>
        <v>0.3</v>
      </c>
      <c r="G133" s="4">
        <f>48.3/100*30</f>
        <v>14.49</v>
      </c>
      <c r="H133" s="4">
        <v>70.14</v>
      </c>
    </row>
    <row r="134" spans="1:17" customHeight="1" ht="18">
      <c r="A134" s="47"/>
      <c r="B134" s="9" t="s">
        <v>20</v>
      </c>
      <c r="C134" s="50">
        <f>SUM(C128:C133)</f>
        <v>757</v>
      </c>
      <c r="D134" s="75">
        <f>SUM(D128:D133)</f>
        <v>78</v>
      </c>
      <c r="E134" s="75">
        <f>SUM(E128:E133)</f>
        <v>23.1</v>
      </c>
      <c r="F134" s="75">
        <f>SUM(F128:F133)</f>
        <v>23.743333333333</v>
      </c>
      <c r="G134" s="75">
        <f>SUM(G128:G133)</f>
        <v>100.5</v>
      </c>
      <c r="H134" s="75">
        <f>SUM(H128:H133)</f>
        <v>705.56</v>
      </c>
      <c r="I134" s="11">
        <v>77.36</v>
      </c>
      <c r="J134" s="114">
        <f>D134-I134</f>
        <v>0.64000000000001</v>
      </c>
    </row>
    <row r="135" spans="1:17" customHeight="1" ht="18">
      <c r="A135" s="47"/>
      <c r="B135" s="3" t="s">
        <v>30</v>
      </c>
      <c r="C135" s="50"/>
      <c r="D135" s="35"/>
      <c r="E135" s="6">
        <f>E126+E134</f>
        <v>38.496666666667</v>
      </c>
      <c r="F135" s="6">
        <f>F126+F134</f>
        <v>39.541555555555</v>
      </c>
      <c r="G135" s="6">
        <f>G126+G134</f>
        <v>167.50466666667</v>
      </c>
      <c r="H135" s="6">
        <f>H126+H134</f>
        <v>1175.56</v>
      </c>
    </row>
    <row r="136" spans="1:17" customHeight="1" ht="18">
      <c r="A136" s="249" t="s">
        <v>75</v>
      </c>
      <c r="B136" s="249"/>
      <c r="C136" s="174"/>
      <c r="D136" s="18"/>
      <c r="E136" s="18"/>
      <c r="F136" s="18"/>
      <c r="G136" s="18"/>
      <c r="H136" s="18"/>
    </row>
    <row r="137" spans="1:17" customHeight="1" ht="18">
      <c r="A137" s="249" t="s">
        <v>42</v>
      </c>
      <c r="B137" s="249"/>
      <c r="C137" s="174"/>
      <c r="D137" s="36"/>
      <c r="E137" s="18"/>
      <c r="F137" s="18"/>
      <c r="G137" s="18"/>
      <c r="H137" s="18"/>
    </row>
    <row r="138" spans="1:17" customHeight="1" ht="18">
      <c r="A138" s="45">
        <v>258</v>
      </c>
      <c r="B138" s="4" t="s">
        <v>76</v>
      </c>
      <c r="C138" s="51">
        <v>150</v>
      </c>
      <c r="D138" s="41">
        <f>29.8+7.65</f>
        <v>37.45</v>
      </c>
      <c r="E138" s="17">
        <f>10.75+1.53</f>
        <v>12.28</v>
      </c>
      <c r="F138" s="17">
        <f>9.4+4.51</f>
        <v>13.91</v>
      </c>
      <c r="G138" s="17">
        <f>27.5-3.44</f>
        <v>24.06</v>
      </c>
      <c r="H138" s="73">
        <f>268.43+0.24</f>
        <v>268.67</v>
      </c>
    </row>
    <row r="139" spans="1:17" customHeight="1" ht="18">
      <c r="A139" s="45" t="s">
        <v>18</v>
      </c>
      <c r="B139" s="25" t="s">
        <v>77</v>
      </c>
      <c r="C139" s="51">
        <v>100</v>
      </c>
      <c r="D139" s="21">
        <v>23.25</v>
      </c>
      <c r="E139" s="17">
        <v>1.4019230769231</v>
      </c>
      <c r="F139" s="17">
        <v>0.31153846153846</v>
      </c>
      <c r="G139" s="17">
        <v>3.5711538461538</v>
      </c>
      <c r="H139" s="17">
        <v>22.7</v>
      </c>
    </row>
    <row r="140" spans="1:17" customHeight="1" ht="18" s="8" customFormat="1">
      <c r="A140" s="92" t="s">
        <v>18</v>
      </c>
      <c r="B140" s="14" t="s">
        <v>35</v>
      </c>
      <c r="C140" s="30">
        <v>50</v>
      </c>
      <c r="D140" s="41">
        <f>9.95+3.19+0.64</f>
        <v>13.78</v>
      </c>
      <c r="E140" s="17">
        <v>1.62</v>
      </c>
      <c r="F140" s="17">
        <v>1.58</v>
      </c>
      <c r="G140" s="17">
        <v>19.17</v>
      </c>
      <c r="H140" s="17">
        <v>97.43</v>
      </c>
    </row>
    <row r="141" spans="1:17" customHeight="1" ht="18">
      <c r="A141" s="45">
        <v>300</v>
      </c>
      <c r="B141" s="25" t="s">
        <v>33</v>
      </c>
      <c r="C141" s="51">
        <v>200</v>
      </c>
      <c r="D141" s="21">
        <v>3.52</v>
      </c>
      <c r="E141" s="4">
        <v>0.1</v>
      </c>
      <c r="F141" s="4">
        <v>0.0</v>
      </c>
      <c r="G141" s="4">
        <v>20.2</v>
      </c>
      <c r="H141" s="4">
        <v>81.2</v>
      </c>
    </row>
    <row r="142" spans="1:17" customHeight="1" ht="18">
      <c r="A142" s="47"/>
      <c r="B142" s="9" t="s">
        <v>20</v>
      </c>
      <c r="C142" s="50">
        <f>SUM(C138:C141)</f>
        <v>500</v>
      </c>
      <c r="D142" s="35">
        <f>SUM(D138:D141)</f>
        <v>78</v>
      </c>
      <c r="E142" s="35">
        <f>SUM(E138:E141)</f>
        <v>15.401923076923</v>
      </c>
      <c r="F142" s="35">
        <f>SUM(F138:F141)</f>
        <v>15.801538461538</v>
      </c>
      <c r="G142" s="35">
        <f>SUM(G138:G141)</f>
        <v>67.001153846154</v>
      </c>
      <c r="H142" s="35">
        <f>SUM(H138:H141)</f>
        <v>470</v>
      </c>
      <c r="I142" s="11">
        <v>77.36</v>
      </c>
      <c r="J142" s="114">
        <f>D142-I142</f>
        <v>0.64</v>
      </c>
      <c r="N142" s="114"/>
    </row>
    <row r="143" spans="1:17" customHeight="1" ht="18">
      <c r="A143" s="49"/>
      <c r="B143" s="28"/>
      <c r="C143" s="61"/>
      <c r="D143" s="36"/>
      <c r="E143" s="18"/>
      <c r="F143" s="18"/>
      <c r="G143" s="18"/>
      <c r="H143" s="18"/>
    </row>
    <row r="144" spans="1:17" customHeight="1" ht="18">
      <c r="A144" s="240" t="s">
        <v>21</v>
      </c>
      <c r="B144" s="240"/>
      <c r="C144" s="44"/>
      <c r="D144" s="36"/>
      <c r="E144" s="18"/>
      <c r="F144" s="18"/>
      <c r="G144" s="18"/>
      <c r="H144" s="18"/>
    </row>
    <row r="145" spans="1:17" customHeight="1" ht="18">
      <c r="A145" s="45">
        <v>55</v>
      </c>
      <c r="B145" s="20" t="s">
        <v>45</v>
      </c>
      <c r="C145" s="30">
        <v>200</v>
      </c>
      <c r="D145" s="21">
        <v>12.75</v>
      </c>
      <c r="E145" s="19">
        <v>8.25</v>
      </c>
      <c r="F145" s="19">
        <v>9.7</v>
      </c>
      <c r="G145" s="19">
        <v>31.8</v>
      </c>
      <c r="H145" s="19">
        <v>247.5</v>
      </c>
    </row>
    <row r="146" spans="1:17" customHeight="1" ht="18">
      <c r="A146" s="45">
        <v>108</v>
      </c>
      <c r="B146" s="93" t="s">
        <v>78</v>
      </c>
      <c r="C146" s="56">
        <v>90</v>
      </c>
      <c r="D146" s="21">
        <f>44.15-5.55+0.48+2.45-10.27+7.38+1.32</f>
        <v>39.96</v>
      </c>
      <c r="E146" s="31">
        <f>6.9-0.04</f>
        <v>6.86</v>
      </c>
      <c r="F146" s="31">
        <f>3.5+1.98</f>
        <v>5.48</v>
      </c>
      <c r="G146" s="31">
        <f>20.7-7.43</f>
        <v>13.27</v>
      </c>
      <c r="H146" s="31">
        <f>129.9-2.7</f>
        <v>127.2</v>
      </c>
    </row>
    <row r="147" spans="1:17" customHeight="1" ht="18">
      <c r="A147" s="48" t="s">
        <v>24</v>
      </c>
      <c r="B147" s="4" t="s">
        <v>25</v>
      </c>
      <c r="C147" s="29">
        <v>180</v>
      </c>
      <c r="D147" s="41">
        <f>15.18+3.19</f>
        <v>18.37</v>
      </c>
      <c r="E147" s="19">
        <f>12.72-6.81</f>
        <v>5.91</v>
      </c>
      <c r="F147" s="19">
        <v>8.16</v>
      </c>
      <c r="G147" s="19">
        <f>30.36-5.15</f>
        <v>25.21</v>
      </c>
      <c r="H147" s="19">
        <v>197.92</v>
      </c>
    </row>
    <row r="148" spans="1:17" customHeight="1" ht="18">
      <c r="A148" s="45">
        <v>300</v>
      </c>
      <c r="B148" s="25" t="s">
        <v>33</v>
      </c>
      <c r="C148" s="51">
        <v>200</v>
      </c>
      <c r="D148" s="21">
        <v>3.52</v>
      </c>
      <c r="E148" s="4">
        <v>0.1</v>
      </c>
      <c r="F148" s="4">
        <v>0.0</v>
      </c>
      <c r="G148" s="4">
        <v>20.2</v>
      </c>
      <c r="H148" s="4">
        <v>81.2</v>
      </c>
    </row>
    <row r="149" spans="1:17" customHeight="1" ht="18">
      <c r="A149" s="48" t="s">
        <v>27</v>
      </c>
      <c r="B149" s="4" t="s">
        <v>28</v>
      </c>
      <c r="C149" s="51">
        <v>37</v>
      </c>
      <c r="D149" s="21">
        <v>3.4</v>
      </c>
      <c r="E149" s="2">
        <f>6.6/100*30</f>
        <v>1.98</v>
      </c>
      <c r="F149" s="52">
        <f>1.2/100*30</f>
        <v>0.36</v>
      </c>
      <c r="G149" s="2">
        <f>33.4/100*30</f>
        <v>10.02</v>
      </c>
      <c r="H149" s="2">
        <v>51.24</v>
      </c>
    </row>
    <row r="150" spans="1:17" customHeight="1" ht="18">
      <c r="A150" s="45"/>
      <c r="B150" s="9" t="s">
        <v>20</v>
      </c>
      <c r="C150" s="50">
        <f>SUM(C145:C149)</f>
        <v>707</v>
      </c>
      <c r="D150" s="75">
        <f>SUM(D145:D149)</f>
        <v>78</v>
      </c>
      <c r="E150" s="75">
        <f>SUM(E145:E149)</f>
        <v>23.1</v>
      </c>
      <c r="F150" s="75">
        <f>SUM(F145:F149)</f>
        <v>23.7</v>
      </c>
      <c r="G150" s="75">
        <f>SUM(G145:G149)</f>
        <v>100.5</v>
      </c>
      <c r="H150" s="75">
        <f>SUM(H145:H149)</f>
        <v>705.06</v>
      </c>
    </row>
    <row r="151" spans="1:17" customHeight="1" ht="18">
      <c r="A151" s="45"/>
      <c r="B151" s="9"/>
      <c r="C151" s="50"/>
      <c r="D151" s="35"/>
      <c r="E151" s="5">
        <f>E142+E150</f>
        <v>38.501923076923</v>
      </c>
      <c r="F151" s="5">
        <f>F142+F150</f>
        <v>39.501538461538</v>
      </c>
      <c r="G151" s="5">
        <f>G142+G150</f>
        <v>167.50115384615</v>
      </c>
      <c r="H151" s="5">
        <f>H142+H150</f>
        <v>1175.06</v>
      </c>
    </row>
    <row r="152" spans="1:17" customHeight="1" ht="18">
      <c r="A152" s="249" t="s">
        <v>79</v>
      </c>
      <c r="B152" s="249"/>
      <c r="C152" s="174"/>
      <c r="D152" s="18"/>
      <c r="E152" s="18"/>
      <c r="F152" s="18"/>
      <c r="G152" s="18"/>
      <c r="H152" s="18"/>
    </row>
    <row r="153" spans="1:17" customHeight="1" ht="18">
      <c r="A153" s="249" t="s">
        <v>42</v>
      </c>
      <c r="B153" s="249"/>
      <c r="C153" s="174"/>
      <c r="D153" s="36"/>
      <c r="E153" s="18"/>
      <c r="F153" s="18"/>
      <c r="G153" s="18"/>
      <c r="H153" s="18"/>
    </row>
    <row r="154" spans="1:17" customHeight="1" ht="18">
      <c r="A154" s="45">
        <v>227</v>
      </c>
      <c r="B154" s="1" t="s">
        <v>52</v>
      </c>
      <c r="C154" s="57">
        <v>150</v>
      </c>
      <c r="D154" s="21">
        <v>11.49</v>
      </c>
      <c r="E154" s="31">
        <v>7.1253333333333</v>
      </c>
      <c r="F154" s="31">
        <v>7.69</v>
      </c>
      <c r="G154" s="31">
        <f>38.208-16.8</f>
        <v>21.408</v>
      </c>
      <c r="H154" s="31">
        <v>183.34</v>
      </c>
    </row>
    <row r="155" spans="1:17" customHeight="1" ht="18">
      <c r="A155" s="45">
        <v>136</v>
      </c>
      <c r="B155" s="25" t="s">
        <v>80</v>
      </c>
      <c r="C155" s="57">
        <v>100</v>
      </c>
      <c r="D155" s="41">
        <f>46.02+1.19</f>
        <v>47.21</v>
      </c>
      <c r="E155" s="21">
        <v>4</v>
      </c>
      <c r="F155" s="21">
        <f>6.3-1.49</f>
        <v>4.81</v>
      </c>
      <c r="G155" s="21">
        <v>8.9</v>
      </c>
      <c r="H155" s="21">
        <v>94.89</v>
      </c>
    </row>
    <row r="156" spans="1:17" customHeight="1" ht="18">
      <c r="A156" s="45">
        <v>300</v>
      </c>
      <c r="B156" s="25" t="s">
        <v>33</v>
      </c>
      <c r="C156" s="51">
        <v>200</v>
      </c>
      <c r="D156" s="21">
        <v>3.52</v>
      </c>
      <c r="E156" s="4">
        <v>0.1</v>
      </c>
      <c r="F156" s="4">
        <v>0.0</v>
      </c>
      <c r="G156" s="4">
        <v>20.2</v>
      </c>
      <c r="H156" s="4">
        <v>81.2</v>
      </c>
    </row>
    <row r="157" spans="1:17" customHeight="1" ht="18">
      <c r="A157" s="48" t="s">
        <v>38</v>
      </c>
      <c r="B157" s="2" t="s">
        <v>35</v>
      </c>
      <c r="C157" s="29">
        <v>20</v>
      </c>
      <c r="D157" s="21">
        <v>12.02</v>
      </c>
      <c r="E157" s="16">
        <v>1.8</v>
      </c>
      <c r="F157" s="16">
        <v>3</v>
      </c>
      <c r="G157" s="16">
        <v>2</v>
      </c>
      <c r="H157" s="74">
        <v>42.2</v>
      </c>
    </row>
    <row r="158" spans="1:17" customHeight="1" ht="18">
      <c r="A158" s="48" t="s">
        <v>29</v>
      </c>
      <c r="B158" s="4" t="s">
        <v>14</v>
      </c>
      <c r="C158" s="51">
        <v>36</v>
      </c>
      <c r="D158" s="21">
        <v>3.76</v>
      </c>
      <c r="E158" s="4">
        <f>7.9/100*30</f>
        <v>2.37</v>
      </c>
      <c r="F158" s="4">
        <f>1/100*30</f>
        <v>0.3</v>
      </c>
      <c r="G158" s="4">
        <f>48.3/100*30</f>
        <v>14.49</v>
      </c>
      <c r="H158" s="4">
        <v>70.14</v>
      </c>
    </row>
    <row r="159" spans="1:17" customHeight="1" ht="18">
      <c r="A159" s="47"/>
      <c r="B159" s="9" t="s">
        <v>20</v>
      </c>
      <c r="C159" s="50">
        <f>SUM(C154:C158)</f>
        <v>506</v>
      </c>
      <c r="D159" s="6">
        <f>SUM(D154:D158)</f>
        <v>78</v>
      </c>
      <c r="E159" s="5">
        <f>SUM(E154:E158)</f>
        <v>15.395333333333</v>
      </c>
      <c r="F159" s="5">
        <f>SUM(F154:F158)</f>
        <v>15.8</v>
      </c>
      <c r="G159" s="5">
        <f>SUM(G154:G158)</f>
        <v>66.998</v>
      </c>
      <c r="H159" s="5">
        <f>SUM(H154:H158)</f>
        <v>471.77</v>
      </c>
      <c r="I159" s="11">
        <v>77.36</v>
      </c>
      <c r="J159" s="114">
        <f>D159-I159</f>
        <v>0.64000000000001</v>
      </c>
    </row>
    <row r="160" spans="1:17" customHeight="1" ht="18">
      <c r="A160" s="235" t="s">
        <v>21</v>
      </c>
      <c r="B160" s="236"/>
      <c r="C160" s="54"/>
      <c r="D160" s="36"/>
      <c r="E160" s="18"/>
      <c r="F160" s="18"/>
      <c r="G160" s="18"/>
      <c r="H160" s="18"/>
    </row>
    <row r="161" spans="1:17" customHeight="1" ht="18">
      <c r="A161" s="45">
        <v>65</v>
      </c>
      <c r="B161" s="20" t="s">
        <v>57</v>
      </c>
      <c r="C161" s="56">
        <v>230</v>
      </c>
      <c r="D161" s="41">
        <v>10.81</v>
      </c>
      <c r="E161" s="13">
        <v>6.716</v>
      </c>
      <c r="F161" s="13">
        <v>6.808</v>
      </c>
      <c r="G161" s="13">
        <v>25.576</v>
      </c>
      <c r="H161" s="13">
        <v>190.44</v>
      </c>
    </row>
    <row r="162" spans="1:17" customHeight="1" ht="18">
      <c r="A162" s="45">
        <v>110</v>
      </c>
      <c r="B162" s="1" t="s">
        <v>81</v>
      </c>
      <c r="C162" s="29">
        <v>90</v>
      </c>
      <c r="D162" s="21">
        <f>40.96+8.12+2</f>
        <v>51.08</v>
      </c>
      <c r="E162" s="31">
        <f>6.9+0.74</f>
        <v>7.64</v>
      </c>
      <c r="F162" s="31">
        <f>6.1+4.57</f>
        <v>10.67</v>
      </c>
      <c r="G162" s="31">
        <f>28.7-9.33</f>
        <v>19.37</v>
      </c>
      <c r="H162" s="31">
        <f>193.3+8.03</f>
        <v>201.33</v>
      </c>
    </row>
    <row r="163" spans="1:17" customHeight="1" ht="18">
      <c r="A163" s="45">
        <v>227</v>
      </c>
      <c r="B163" s="93" t="s">
        <v>70</v>
      </c>
      <c r="C163" s="56">
        <v>150</v>
      </c>
      <c r="D163" s="41">
        <f>6+3.19</f>
        <v>9.19</v>
      </c>
      <c r="E163" s="31">
        <v>6.6666666666667</v>
      </c>
      <c r="F163" s="31">
        <v>5.8666666666667</v>
      </c>
      <c r="G163" s="31">
        <f>53.333333333333-28</f>
        <v>25.333333333333</v>
      </c>
      <c r="H163" s="31">
        <v>180.8</v>
      </c>
    </row>
    <row r="164" spans="1:17" customHeight="1" ht="15.75">
      <c r="A164" s="45">
        <v>300</v>
      </c>
      <c r="B164" s="25" t="s">
        <v>33</v>
      </c>
      <c r="C164" s="51">
        <v>200</v>
      </c>
      <c r="D164" s="21">
        <v>3.52</v>
      </c>
      <c r="E164" s="4">
        <v>0.1</v>
      </c>
      <c r="F164" s="4">
        <v>0.0</v>
      </c>
      <c r="G164" s="4">
        <v>20.2</v>
      </c>
      <c r="H164" s="4">
        <v>81.2</v>
      </c>
    </row>
    <row r="165" spans="1:17" customHeight="1" ht="15.75">
      <c r="A165" s="48" t="s">
        <v>27</v>
      </c>
      <c r="B165" s="4" t="s">
        <v>28</v>
      </c>
      <c r="C165" s="51">
        <v>37</v>
      </c>
      <c r="D165" s="21">
        <v>3.4</v>
      </c>
      <c r="E165" s="2">
        <f>6.6/100*30</f>
        <v>1.98</v>
      </c>
      <c r="F165" s="52">
        <f>1.2/100*30</f>
        <v>0.36</v>
      </c>
      <c r="G165" s="2">
        <f>33.4/100*30</f>
        <v>10.02</v>
      </c>
      <c r="H165" s="2">
        <v>51.24</v>
      </c>
    </row>
    <row r="166" spans="1:17" customHeight="1" ht="15.75">
      <c r="A166" s="47"/>
      <c r="B166" s="9" t="s">
        <v>20</v>
      </c>
      <c r="C166" s="50">
        <f>SUM(C161:C165)</f>
        <v>707</v>
      </c>
      <c r="D166" s="75">
        <f>SUM(D161:D165)</f>
        <v>78</v>
      </c>
      <c r="E166" s="75">
        <f>SUM(E161:E165)</f>
        <v>23.102666666667</v>
      </c>
      <c r="F166" s="75">
        <f>SUM(F161:F165)</f>
        <v>23.704666666667</v>
      </c>
      <c r="G166" s="75">
        <f>SUM(G161:G165)</f>
        <v>100.49933333333</v>
      </c>
      <c r="H166" s="75">
        <f>SUM(H161:H165)</f>
        <v>705.01</v>
      </c>
      <c r="I166" s="11">
        <v>77.36</v>
      </c>
      <c r="J166" s="114">
        <f>D166-I166</f>
        <v>0.64</v>
      </c>
    </row>
    <row r="167" spans="1:17" customHeight="1" ht="15.75">
      <c r="A167" s="47"/>
      <c r="B167" s="12" t="s">
        <v>30</v>
      </c>
      <c r="C167" s="50"/>
      <c r="D167" s="35"/>
      <c r="E167" s="6">
        <f>E159+E166</f>
        <v>38.498</v>
      </c>
      <c r="F167" s="6">
        <f>F159+F166</f>
        <v>39.504666666667</v>
      </c>
      <c r="G167" s="6">
        <f>G159+G166</f>
        <v>167.49733333333</v>
      </c>
      <c r="H167" s="6">
        <f>H159+H166</f>
        <v>1176.78</v>
      </c>
    </row>
    <row r="168" spans="1:17" customHeight="1" ht="15.75">
      <c r="A168" s="66"/>
      <c r="B168" s="245" t="s">
        <v>82</v>
      </c>
      <c r="C168" s="245"/>
      <c r="D168" s="6"/>
      <c r="E168" s="6">
        <f>E24+E41+E57+E73+E88+E104+E119+E135+E151+E167</f>
        <v>384.99591263058</v>
      </c>
      <c r="F168" s="6">
        <f>F24+F41+F57+F73+F88+F104+F119+F135+F151+F167</f>
        <v>395.06198195632</v>
      </c>
      <c r="G168" s="6">
        <f>G24+G41+G57+G73+G88+G104+G119+G135+G151+G167</f>
        <v>1670.0265636277</v>
      </c>
      <c r="H168" s="6">
        <f>H24+H41+H57+H73+H88+H104+H119+H135+H151+H167</f>
        <v>11759.0375</v>
      </c>
    </row>
    <row r="169" spans="1:17" customHeight="1" ht="15.75">
      <c r="A169" s="66"/>
      <c r="B169" s="246" t="s">
        <v>83</v>
      </c>
      <c r="C169" s="246"/>
      <c r="D169" s="67"/>
      <c r="E169" s="6">
        <f>E168/10</f>
        <v>38.499591263058</v>
      </c>
      <c r="F169" s="6">
        <f>F168/10</f>
        <v>39.506198195632</v>
      </c>
      <c r="G169" s="6">
        <f>G168/10</f>
        <v>167.00265636277</v>
      </c>
      <c r="H169" s="6">
        <f>H168/10</f>
        <v>1175.90375</v>
      </c>
    </row>
    <row r="170" spans="1:17" customHeight="1" ht="15.75">
      <c r="E170" s="18"/>
      <c r="F170" s="18"/>
      <c r="G170" s="18"/>
      <c r="H170" s="18"/>
    </row>
    <row r="171" spans="1:17" customHeight="1" ht="15">
      <c r="E171" s="40"/>
      <c r="F171" s="40"/>
      <c r="G171" s="40"/>
      <c r="H171" s="40"/>
    </row>
    <row r="172" spans="1:17" customHeight="1" ht="15">
      <c r="E172" s="114"/>
      <c r="F172" s="114"/>
      <c r="G172" s="11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44:B144"/>
    <mergeCell ref="A152:B152"/>
    <mergeCell ref="A153:B153"/>
    <mergeCell ref="A160:B160"/>
    <mergeCell ref="B168:C168"/>
    <mergeCell ref="B169:C169"/>
    <mergeCell ref="A112:B112"/>
    <mergeCell ref="A120:B120"/>
    <mergeCell ref="A121:B121"/>
    <mergeCell ref="A127:B127"/>
    <mergeCell ref="A136:B136"/>
    <mergeCell ref="A137:B137"/>
    <mergeCell ref="A82:B82"/>
    <mergeCell ref="A89:B89"/>
    <mergeCell ref="A90:B90"/>
    <mergeCell ref="A97:B97"/>
    <mergeCell ref="A105:B105"/>
    <mergeCell ref="A106:B106"/>
    <mergeCell ref="A49:B49"/>
    <mergeCell ref="A58:B58"/>
    <mergeCell ref="A59:B59"/>
    <mergeCell ref="A65:B65"/>
    <mergeCell ref="A74:B74"/>
    <mergeCell ref="A75:B75"/>
    <mergeCell ref="A16:B16"/>
    <mergeCell ref="A25:B25"/>
    <mergeCell ref="A26:B26"/>
    <mergeCell ref="A33:B33"/>
    <mergeCell ref="A42:B42"/>
    <mergeCell ref="A43:B43"/>
    <mergeCell ref="H3:H7"/>
    <mergeCell ref="E5:E7"/>
    <mergeCell ref="F5:F7"/>
    <mergeCell ref="G5:G7"/>
    <mergeCell ref="A8:B8"/>
    <mergeCell ref="A9:B9"/>
    <mergeCell ref="B1:G2"/>
    <mergeCell ref="A3:A7"/>
    <mergeCell ref="B3:B7"/>
    <mergeCell ref="C3:C7"/>
    <mergeCell ref="D3:D7"/>
    <mergeCell ref="E3:G4"/>
  </mergeCells>
  <printOptions gridLines="false" gridLinesSet="true"/>
  <pageMargins left="0.7" right="0.7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9" manualBreakCount="9">
    <brk id="24" man="1"/>
    <brk id="41" man="1"/>
    <brk id="57" man="1"/>
    <brk id="73" man="1"/>
    <brk id="88" man="1"/>
    <brk id="104" man="1"/>
    <brk id="119" man="1"/>
    <brk id="135" man="1"/>
    <brk id="1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с 1 по 4</vt:lpstr>
      <vt:lpstr>Лист3</vt:lpstr>
      <vt:lpstr>Лист4</vt:lpstr>
      <vt:lpstr>73 руб</vt:lpstr>
      <vt:lpstr>77,36</vt:lpstr>
      <vt:lpstr>Лист2</vt:lpstr>
      <vt:lpstr>Лист5</vt:lpstr>
      <vt:lpstr>78</vt:lpstr>
    </vt:vector>
  </TitlesOfParts>
  <Company>Организация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Админ</cp:lastModifiedBy>
  <dcterms:created xsi:type="dcterms:W3CDTF">2017-07-26T09:10:42+03:00</dcterms:created>
  <dcterms:modified xsi:type="dcterms:W3CDTF">2025-01-07T20:59:34+02:00</dcterms:modified>
  <dc:title>Untitled Spreadsheet</dc:title>
  <dc:description/>
  <dc:subject/>
  <cp:keywords/>
  <cp:category/>
</cp:coreProperties>
</file>