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360" firstSheet="6" activeTab="6"/>
  </bookViews>
  <sheets>
    <sheet name="151" sheetId="18" state="hidden" r:id="rId1"/>
    <sheet name="1 НЕДЕЛЯ" sheetId="20" state="hidden" r:id="rId2"/>
    <sheet name="2 НЕДЕЛЯ" sheetId="21" state="hidden" r:id="rId3"/>
    <sheet name="142 руб" sheetId="19" state="hidden" r:id="rId4"/>
    <sheet name="Лист1" sheetId="22" state="hidden" r:id="rId5"/>
    <sheet name="анализ" sheetId="23" state="hidden" r:id="rId6"/>
    <sheet name="176" sheetId="24" r:id="rId7"/>
    <sheet name="Лист4" sheetId="27" state="hidden" r:id="rId8"/>
    <sheet name="Лист5" sheetId="28" state="hidden" r:id="rId9"/>
    <sheet name="Лист2" sheetId="25" state="hidden" r:id="rId10"/>
    <sheet name="Лист3" sheetId="26" state="hidden" r:id="rId11"/>
  </sheets>
  <definedNames>
    <definedName name="_xlnm._FilterDatabase" localSheetId="3" hidden="1">'142 руб'!$A$1:$I$157</definedName>
    <definedName name="_xlnm._FilterDatabase" localSheetId="0" hidden="1">'151'!$A$1:$W$163</definedName>
    <definedName name="_xlnm._FilterDatabase" localSheetId="6" hidden="1">'176'!$A$1:$AR$166</definedName>
    <definedName name="_xlnm._FilterDatabase" localSheetId="5" hidden="1">анализ!$A$2:$L$148</definedName>
    <definedName name="_xlnm.Print_Titles" localSheetId="3">'142 руб'!$3:$7</definedName>
    <definedName name="_xlnm.Print_Titles" localSheetId="0">'151'!$3:$7</definedName>
  </definedNames>
  <calcPr calcId="145621"/>
  <fileRecoveryPr autoRecover="0"/>
</workbook>
</file>

<file path=xl/calcChain.xml><?xml version="1.0" encoding="utf-8"?>
<calcChain xmlns="http://schemas.openxmlformats.org/spreadsheetml/2006/main">
  <c r="H158" i="24" l="1"/>
  <c r="H161" i="24" s="1"/>
  <c r="G158" i="24"/>
  <c r="F158" i="24"/>
  <c r="E158" i="24"/>
  <c r="E161" i="24" s="1"/>
  <c r="I166" i="24"/>
  <c r="J166" i="24"/>
  <c r="K166" i="24"/>
  <c r="L166" i="24"/>
  <c r="M166" i="24"/>
  <c r="O166" i="24"/>
  <c r="P166" i="24"/>
  <c r="Q166" i="24"/>
  <c r="R166" i="24"/>
  <c r="S166" i="24"/>
  <c r="T166" i="24"/>
  <c r="U166" i="24"/>
  <c r="V166" i="24"/>
  <c r="W166" i="24"/>
  <c r="X166" i="24"/>
  <c r="Y166" i="24"/>
  <c r="Z166" i="24"/>
  <c r="AA166" i="24"/>
  <c r="AB166" i="24"/>
  <c r="AC166" i="24"/>
  <c r="AD166" i="24"/>
  <c r="AE166" i="24"/>
  <c r="AF166" i="24"/>
  <c r="AG166" i="24"/>
  <c r="AH166" i="24"/>
  <c r="AI166" i="24"/>
  <c r="AJ166" i="24"/>
  <c r="AK166" i="24"/>
  <c r="AL166" i="24"/>
  <c r="AM166" i="24"/>
  <c r="AN166" i="24"/>
  <c r="F161" i="24"/>
  <c r="G161" i="24"/>
  <c r="C161" i="24"/>
  <c r="E66" i="24"/>
  <c r="E70" i="24"/>
  <c r="F70" i="24"/>
  <c r="G70" i="24"/>
  <c r="H70" i="24"/>
  <c r="D26" i="18" l="1"/>
  <c r="H31" i="18"/>
  <c r="G31" i="18"/>
  <c r="F31" i="18"/>
  <c r="E31" i="18"/>
  <c r="D31" i="18"/>
  <c r="H25" i="18"/>
  <c r="G25" i="18"/>
  <c r="F25" i="18"/>
  <c r="E25" i="18"/>
  <c r="H26" i="24"/>
  <c r="G26" i="24"/>
  <c r="F26" i="24"/>
  <c r="E26" i="24"/>
  <c r="D26" i="24"/>
  <c r="H32" i="24"/>
  <c r="G32" i="24"/>
  <c r="F32" i="24"/>
  <c r="E32" i="24"/>
  <c r="I40" i="24"/>
  <c r="J40" i="24"/>
  <c r="K40" i="24"/>
  <c r="L40" i="24"/>
  <c r="M40" i="24"/>
  <c r="N40" i="24"/>
  <c r="O40" i="24"/>
  <c r="P40" i="24"/>
  <c r="Q40" i="24"/>
  <c r="R40" i="24"/>
  <c r="S40" i="24"/>
  <c r="T40" i="24"/>
  <c r="U40" i="24"/>
  <c r="V40" i="24"/>
  <c r="W40" i="24"/>
  <c r="X40" i="24"/>
  <c r="Y40" i="24"/>
  <c r="Z40" i="24"/>
  <c r="AA40" i="24"/>
  <c r="AB40" i="24"/>
  <c r="AC40" i="24"/>
  <c r="AD40" i="24"/>
  <c r="AE40" i="24"/>
  <c r="AF40" i="24"/>
  <c r="AG40" i="24"/>
  <c r="AH40" i="24"/>
  <c r="AI40" i="24"/>
  <c r="AJ40" i="24"/>
  <c r="AK40" i="24"/>
  <c r="AL40" i="24"/>
  <c r="AM40" i="24"/>
  <c r="AN40" i="24"/>
  <c r="D32" i="24"/>
  <c r="H80" i="18" l="1"/>
  <c r="G80" i="18"/>
  <c r="F80" i="18"/>
  <c r="E80" i="18"/>
  <c r="G79" i="18"/>
  <c r="E79" i="18"/>
  <c r="H155" i="18"/>
  <c r="G155" i="18"/>
  <c r="F155" i="18"/>
  <c r="E155" i="18"/>
  <c r="D155" i="18"/>
  <c r="D80" i="18"/>
  <c r="F33" i="27" l="1"/>
  <c r="F24" i="27"/>
  <c r="H82" i="24"/>
  <c r="F82" i="24"/>
  <c r="E82" i="24"/>
  <c r="I89" i="24"/>
  <c r="J89" i="24"/>
  <c r="K89" i="24"/>
  <c r="L89" i="24"/>
  <c r="M89" i="24"/>
  <c r="N89" i="24"/>
  <c r="O89" i="24"/>
  <c r="P89" i="24"/>
  <c r="Q89" i="24"/>
  <c r="R89" i="24"/>
  <c r="S89" i="24"/>
  <c r="T89" i="24"/>
  <c r="U89" i="24"/>
  <c r="V89" i="24"/>
  <c r="W89" i="24"/>
  <c r="X89" i="24"/>
  <c r="Y89" i="24"/>
  <c r="Z89" i="24"/>
  <c r="AA89" i="24"/>
  <c r="AB89" i="24"/>
  <c r="AC89" i="24"/>
  <c r="AD89" i="24"/>
  <c r="AE89" i="24"/>
  <c r="AF89" i="24"/>
  <c r="AG89" i="24"/>
  <c r="AH89" i="24"/>
  <c r="AI89" i="24"/>
  <c r="AJ89" i="24"/>
  <c r="AK89" i="24"/>
  <c r="AL89" i="24"/>
  <c r="AM89" i="24"/>
  <c r="AN89" i="24"/>
  <c r="D82" i="24"/>
  <c r="F23" i="28"/>
  <c r="C31" i="28"/>
  <c r="C24" i="28"/>
  <c r="I15" i="28"/>
  <c r="I8" i="28"/>
  <c r="F15" i="28"/>
  <c r="F8" i="28"/>
  <c r="C15" i="28"/>
  <c r="C8" i="28"/>
  <c r="C33" i="27"/>
  <c r="C26" i="27"/>
  <c r="I16" i="27"/>
  <c r="I9" i="27"/>
  <c r="F16" i="27"/>
  <c r="F8" i="27"/>
  <c r="C16" i="27"/>
  <c r="C9" i="27"/>
  <c r="D158" i="24"/>
  <c r="H127" i="24" l="1"/>
  <c r="G127" i="24"/>
  <c r="F127" i="24"/>
  <c r="E127" i="24"/>
  <c r="H61" i="24"/>
  <c r="G61" i="24"/>
  <c r="F61" i="24"/>
  <c r="E61" i="24"/>
  <c r="H41" i="24"/>
  <c r="G41" i="24"/>
  <c r="F41" i="24"/>
  <c r="E41" i="24"/>
  <c r="H159" i="18"/>
  <c r="G159" i="18"/>
  <c r="E159" i="18"/>
  <c r="H133" i="18"/>
  <c r="G133" i="18"/>
  <c r="F133" i="18"/>
  <c r="F137" i="18" s="1"/>
  <c r="E133" i="18"/>
  <c r="G137" i="18"/>
  <c r="H137" i="18"/>
  <c r="E137" i="18"/>
  <c r="H125" i="18"/>
  <c r="G125" i="18"/>
  <c r="G129" i="18" s="1"/>
  <c r="F125" i="18"/>
  <c r="E125" i="18"/>
  <c r="E129" i="18" s="1"/>
  <c r="H110" i="18"/>
  <c r="G110" i="18"/>
  <c r="G114" i="18" s="1"/>
  <c r="E110" i="18"/>
  <c r="F110" i="18"/>
  <c r="F114" i="18" s="1"/>
  <c r="G106" i="18"/>
  <c r="H97" i="24"/>
  <c r="G97" i="24"/>
  <c r="H95" i="18"/>
  <c r="H99" i="18" s="1"/>
  <c r="G95" i="18"/>
  <c r="F95" i="18"/>
  <c r="F99" i="18" s="1"/>
  <c r="E95" i="18"/>
  <c r="H88" i="18"/>
  <c r="H92" i="18" s="1"/>
  <c r="G88" i="18"/>
  <c r="F88" i="18"/>
  <c r="F92" i="18" s="1"/>
  <c r="E88" i="18"/>
  <c r="E92" i="18" s="1"/>
  <c r="H60" i="18"/>
  <c r="H62" i="18" s="1"/>
  <c r="H70" i="18" s="1"/>
  <c r="G60" i="18"/>
  <c r="F60" i="18"/>
  <c r="E60" i="18"/>
  <c r="H48" i="18"/>
  <c r="H53" i="18" s="1"/>
  <c r="G48" i="18"/>
  <c r="F48" i="18"/>
  <c r="F53" i="18" s="1"/>
  <c r="E48" i="18"/>
  <c r="H40" i="18"/>
  <c r="H45" i="18" s="1"/>
  <c r="G40" i="18"/>
  <c r="F40" i="18"/>
  <c r="F45" i="18" s="1"/>
  <c r="E40" i="18"/>
  <c r="H10" i="18"/>
  <c r="H14" i="18" s="1"/>
  <c r="G10" i="18"/>
  <c r="F10" i="18"/>
  <c r="E10" i="18"/>
  <c r="F14" i="18"/>
  <c r="D79" i="18"/>
  <c r="L79" i="18" s="1"/>
  <c r="D13" i="25"/>
  <c r="K54" i="25"/>
  <c r="D54" i="25"/>
  <c r="L92" i="25"/>
  <c r="L5" i="25"/>
  <c r="L22" i="25"/>
  <c r="K78" i="25"/>
  <c r="L91" i="25"/>
  <c r="L18" i="25"/>
  <c r="L61" i="25"/>
  <c r="L55" i="25"/>
  <c r="M66" i="25"/>
  <c r="D66" i="25"/>
  <c r="K66" i="25" s="1"/>
  <c r="L66" i="25" s="1"/>
  <c r="L90" i="25"/>
  <c r="L97" i="25"/>
  <c r="D47" i="25"/>
  <c r="L47" i="25" s="1"/>
  <c r="L77" i="25"/>
  <c r="D29" i="25"/>
  <c r="L29" i="25" s="1"/>
  <c r="L52" i="25"/>
  <c r="D10" i="25"/>
  <c r="L10" i="25" s="1"/>
  <c r="K8" i="25"/>
  <c r="D8" i="25"/>
  <c r="K43" i="25"/>
  <c r="L89" i="25"/>
  <c r="L39" i="25"/>
  <c r="L4" i="25"/>
  <c r="L76" i="25"/>
  <c r="L30" i="25"/>
  <c r="L21" i="25"/>
  <c r="D64" i="25"/>
  <c r="L64" i="25" s="1"/>
  <c r="L59" i="25"/>
  <c r="D42" i="25"/>
  <c r="L88" i="25"/>
  <c r="Q65" i="25"/>
  <c r="D65" i="25"/>
  <c r="K65" i="25" s="1"/>
  <c r="D14" i="25"/>
  <c r="L14" i="25" s="1"/>
  <c r="L75" i="25"/>
  <c r="L25" i="25"/>
  <c r="L40" i="25"/>
  <c r="D11" i="25"/>
  <c r="L58" i="25"/>
  <c r="K69" i="25"/>
  <c r="D69" i="25"/>
  <c r="L17" i="25"/>
  <c r="L87" i="25"/>
  <c r="L24" i="25"/>
  <c r="L74" i="25"/>
  <c r="D28" i="25"/>
  <c r="L28" i="25" s="1"/>
  <c r="L38" i="25"/>
  <c r="D3" i="25"/>
  <c r="L3" i="25" s="1"/>
  <c r="L51" i="25"/>
  <c r="K45" i="25"/>
  <c r="D45" i="25"/>
  <c r="K68" i="25"/>
  <c r="D68" i="25"/>
  <c r="L86" i="25"/>
  <c r="L20" i="25"/>
  <c r="L63" i="25"/>
  <c r="K73" i="25"/>
  <c r="D73" i="25"/>
  <c r="D27" i="25"/>
  <c r="L27" i="25" s="1"/>
  <c r="L53" i="25"/>
  <c r="M12" i="25"/>
  <c r="D12" i="25"/>
  <c r="L12" i="25" s="1"/>
  <c r="K50" i="25"/>
  <c r="D50" i="25"/>
  <c r="L67" i="25"/>
  <c r="K49" i="25"/>
  <c r="L49" i="25" s="1"/>
  <c r="L36" i="25"/>
  <c r="L85" i="25"/>
  <c r="D46" i="25"/>
  <c r="K72" i="25"/>
  <c r="L72" i="25" s="1"/>
  <c r="L84" i="25"/>
  <c r="L44" i="25"/>
  <c r="L48" i="25"/>
  <c r="K7" i="25"/>
  <c r="D7" i="25"/>
  <c r="L16" i="25"/>
  <c r="K96" i="25"/>
  <c r="L96" i="25" s="1"/>
  <c r="L35" i="25"/>
  <c r="L83" i="25"/>
  <c r="H6" i="25"/>
  <c r="G6" i="25"/>
  <c r="F6" i="25"/>
  <c r="E6" i="25"/>
  <c r="D6" i="25"/>
  <c r="L6" i="25" s="1"/>
  <c r="L71" i="25"/>
  <c r="L82" i="25"/>
  <c r="L37" i="25"/>
  <c r="L62" i="25"/>
  <c r="D94" i="25"/>
  <c r="L94" i="25" s="1"/>
  <c r="L41" i="25"/>
  <c r="L81" i="25"/>
  <c r="N95" i="25"/>
  <c r="D95" i="25"/>
  <c r="K95" i="25" s="1"/>
  <c r="L95" i="25" s="1"/>
  <c r="D60" i="25"/>
  <c r="L70" i="25"/>
  <c r="L26" i="25"/>
  <c r="D26" i="25"/>
  <c r="L19" i="25"/>
  <c r="L33" i="25"/>
  <c r="L57" i="25"/>
  <c r="N9" i="25"/>
  <c r="L9" i="25"/>
  <c r="K31" i="25"/>
  <c r="D31" i="25"/>
  <c r="L34" i="25"/>
  <c r="L80" i="25"/>
  <c r="D23" i="25"/>
  <c r="D154" i="24"/>
  <c r="D138" i="24"/>
  <c r="D127" i="24"/>
  <c r="D126" i="24"/>
  <c r="D106" i="24"/>
  <c r="D158" i="18"/>
  <c r="D159" i="18" s="1"/>
  <c r="F159" i="18"/>
  <c r="C159" i="18"/>
  <c r="D133" i="18"/>
  <c r="L133" i="18" s="1"/>
  <c r="D95" i="18"/>
  <c r="D97" i="24"/>
  <c r="D66" i="24"/>
  <c r="D65" i="18"/>
  <c r="L65" i="18" s="1"/>
  <c r="D48" i="24"/>
  <c r="D10" i="24"/>
  <c r="D47" i="18"/>
  <c r="D10" i="18"/>
  <c r="L10" i="18" s="1"/>
  <c r="D113" i="18"/>
  <c r="L113" i="18" s="1"/>
  <c r="D122" i="18"/>
  <c r="D108" i="24"/>
  <c r="D98" i="18"/>
  <c r="L98" i="18" s="1"/>
  <c r="D83" i="18"/>
  <c r="E84" i="18"/>
  <c r="F84" i="18"/>
  <c r="G84" i="18"/>
  <c r="H84" i="18"/>
  <c r="I84" i="18"/>
  <c r="J84" i="18"/>
  <c r="K84" i="18"/>
  <c r="M84" i="18"/>
  <c r="N84" i="18"/>
  <c r="O84" i="18"/>
  <c r="C84" i="18"/>
  <c r="E62" i="18"/>
  <c r="E70" i="18" s="1"/>
  <c r="G62" i="18"/>
  <c r="G70" i="18" s="1"/>
  <c r="D48" i="18"/>
  <c r="L48" i="18" s="1"/>
  <c r="E53" i="18"/>
  <c r="G53" i="18"/>
  <c r="I53" i="18"/>
  <c r="J53" i="18"/>
  <c r="M53" i="18"/>
  <c r="N53" i="18"/>
  <c r="O53" i="18"/>
  <c r="C53" i="18"/>
  <c r="C45" i="18"/>
  <c r="L12" i="18"/>
  <c r="M160" i="18"/>
  <c r="H152" i="18"/>
  <c r="G152" i="18"/>
  <c r="F152" i="18"/>
  <c r="E152" i="18"/>
  <c r="C152" i="18"/>
  <c r="K151" i="18"/>
  <c r="L150" i="18"/>
  <c r="D149" i="18"/>
  <c r="L149" i="18" s="1"/>
  <c r="L148" i="18"/>
  <c r="H144" i="18"/>
  <c r="G144" i="18"/>
  <c r="F144" i="18"/>
  <c r="E144" i="18"/>
  <c r="C144" i="18"/>
  <c r="K143" i="18"/>
  <c r="D143" i="18"/>
  <c r="D144" i="18" s="1"/>
  <c r="L142" i="18"/>
  <c r="L141" i="18"/>
  <c r="L140" i="18"/>
  <c r="L139" i="18"/>
  <c r="C137" i="18"/>
  <c r="L135" i="18"/>
  <c r="H129" i="18"/>
  <c r="F129" i="18"/>
  <c r="C129" i="18"/>
  <c r="L128" i="18"/>
  <c r="L127" i="18"/>
  <c r="L126" i="18"/>
  <c r="K124" i="18"/>
  <c r="H122" i="18"/>
  <c r="G122" i="18"/>
  <c r="F122" i="18"/>
  <c r="E122" i="18"/>
  <c r="C122" i="18"/>
  <c r="K121" i="18"/>
  <c r="L120" i="18"/>
  <c r="L119" i="18"/>
  <c r="L118" i="18"/>
  <c r="H114" i="18"/>
  <c r="E114" i="18"/>
  <c r="C114" i="18"/>
  <c r="L112" i="18"/>
  <c r="L111" i="18"/>
  <c r="L110" i="18"/>
  <c r="L109" i="18"/>
  <c r="H107" i="18"/>
  <c r="G107" i="18"/>
  <c r="F107" i="18"/>
  <c r="E107" i="18"/>
  <c r="C107" i="18"/>
  <c r="L105" i="18"/>
  <c r="L103" i="18"/>
  <c r="G99" i="18"/>
  <c r="E99" i="18"/>
  <c r="C99" i="18"/>
  <c r="L97" i="18"/>
  <c r="L96" i="18"/>
  <c r="L94" i="18"/>
  <c r="G92" i="18"/>
  <c r="C92" i="18"/>
  <c r="D91" i="18"/>
  <c r="L90" i="18"/>
  <c r="L89" i="18"/>
  <c r="L88" i="18"/>
  <c r="L83" i="18"/>
  <c r="L81" i="18"/>
  <c r="L80" i="18"/>
  <c r="H77" i="18"/>
  <c r="G77" i="18"/>
  <c r="F77" i="18"/>
  <c r="E77" i="18"/>
  <c r="C77" i="18"/>
  <c r="K76" i="18"/>
  <c r="K91" i="18" s="1"/>
  <c r="D76" i="18"/>
  <c r="L75" i="18"/>
  <c r="L74" i="18"/>
  <c r="L73" i="18"/>
  <c r="C69" i="18"/>
  <c r="K68" i="18"/>
  <c r="L67" i="18"/>
  <c r="L66" i="18"/>
  <c r="M65" i="18"/>
  <c r="K64" i="18"/>
  <c r="D64" i="18"/>
  <c r="F62" i="18"/>
  <c r="F70" i="18" s="1"/>
  <c r="C62" i="18"/>
  <c r="L61" i="18"/>
  <c r="K60" i="18"/>
  <c r="L59" i="18"/>
  <c r="L58" i="18"/>
  <c r="D57" i="18"/>
  <c r="L57" i="18" s="1"/>
  <c r="K51" i="18"/>
  <c r="L51" i="18" s="1"/>
  <c r="L50" i="18"/>
  <c r="L49" i="18"/>
  <c r="K47" i="18"/>
  <c r="L42" i="18"/>
  <c r="L41" i="18"/>
  <c r="G45" i="18"/>
  <c r="E45" i="18"/>
  <c r="D40" i="18"/>
  <c r="L40" i="18" s="1"/>
  <c r="H36" i="18"/>
  <c r="G36" i="18"/>
  <c r="F36" i="18"/>
  <c r="E36" i="18"/>
  <c r="C36" i="18"/>
  <c r="L35" i="18"/>
  <c r="L34" i="18"/>
  <c r="L33" i="18"/>
  <c r="L31" i="18"/>
  <c r="G29" i="18"/>
  <c r="F29" i="18"/>
  <c r="E29" i="18"/>
  <c r="C29" i="18"/>
  <c r="L28" i="18"/>
  <c r="L27" i="18"/>
  <c r="D29" i="18"/>
  <c r="K22" i="18"/>
  <c r="H21" i="18"/>
  <c r="G21" i="18"/>
  <c r="F21" i="18"/>
  <c r="E21" i="18"/>
  <c r="C21" i="18"/>
  <c r="L20" i="18"/>
  <c r="D19" i="18"/>
  <c r="L19" i="18" s="1"/>
  <c r="L18" i="18"/>
  <c r="L17" i="18"/>
  <c r="L16" i="18"/>
  <c r="G14" i="18"/>
  <c r="E14" i="18"/>
  <c r="C14" i="18"/>
  <c r="K13" i="18"/>
  <c r="K136" i="18" s="1"/>
  <c r="D13" i="18"/>
  <c r="L11" i="18"/>
  <c r="D43" i="25" l="1"/>
  <c r="L43" i="25" s="1"/>
  <c r="L31" i="25"/>
  <c r="L45" i="25"/>
  <c r="H29" i="18"/>
  <c r="H160" i="18"/>
  <c r="H85" i="18"/>
  <c r="F85" i="18"/>
  <c r="F160" i="18"/>
  <c r="L7" i="25"/>
  <c r="L73" i="25"/>
  <c r="L69" i="25"/>
  <c r="L54" i="25"/>
  <c r="L50" i="25"/>
  <c r="L78" i="25"/>
  <c r="L68" i="25"/>
  <c r="L46" i="25"/>
  <c r="L23" i="25"/>
  <c r="L60" i="25"/>
  <c r="L11" i="25"/>
  <c r="L65" i="25"/>
  <c r="L42" i="25"/>
  <c r="L8" i="25"/>
  <c r="K32" i="25"/>
  <c r="G160" i="18"/>
  <c r="E160" i="18"/>
  <c r="D99" i="18"/>
  <c r="L125" i="18"/>
  <c r="D53" i="18"/>
  <c r="D84" i="18"/>
  <c r="L47" i="18"/>
  <c r="L53" i="18" s="1"/>
  <c r="L106" i="18"/>
  <c r="G85" i="18"/>
  <c r="E85" i="18"/>
  <c r="L32" i="18"/>
  <c r="L136" i="18"/>
  <c r="K53" i="18"/>
  <c r="F100" i="18"/>
  <c r="H54" i="18"/>
  <c r="L68" i="18"/>
  <c r="D45" i="18"/>
  <c r="D54" i="18" s="1"/>
  <c r="F22" i="18"/>
  <c r="D36" i="18"/>
  <c r="D37" i="18" s="1"/>
  <c r="F37" i="18"/>
  <c r="F145" i="18"/>
  <c r="L143" i="18"/>
  <c r="E100" i="18"/>
  <c r="G115" i="18"/>
  <c r="E130" i="18"/>
  <c r="L25" i="18"/>
  <c r="G37" i="18"/>
  <c r="G54" i="18"/>
  <c r="L64" i="18"/>
  <c r="E54" i="18"/>
  <c r="G22" i="18"/>
  <c r="E22" i="18"/>
  <c r="G100" i="18"/>
  <c r="H115" i="18"/>
  <c r="G130" i="18"/>
  <c r="H145" i="18"/>
  <c r="H100" i="18"/>
  <c r="F130" i="18"/>
  <c r="H37" i="18"/>
  <c r="L124" i="18"/>
  <c r="H22" i="18"/>
  <c r="E37" i="18"/>
  <c r="L95" i="18"/>
  <c r="F115" i="18"/>
  <c r="L121" i="18"/>
  <c r="H130" i="18"/>
  <c r="G145" i="18"/>
  <c r="E115" i="18"/>
  <c r="F54" i="18"/>
  <c r="L60" i="18"/>
  <c r="D69" i="18"/>
  <c r="L76" i="18"/>
  <c r="D114" i="18"/>
  <c r="E145" i="18"/>
  <c r="D137" i="18"/>
  <c r="D145" i="18" s="1"/>
  <c r="L91" i="18"/>
  <c r="D77" i="18"/>
  <c r="D129" i="18"/>
  <c r="D130" i="18" s="1"/>
  <c r="D62" i="18"/>
  <c r="L82" i="18"/>
  <c r="L84" i="18" s="1"/>
  <c r="D92" i="18"/>
  <c r="L13" i="18"/>
  <c r="D14" i="18"/>
  <c r="D21" i="18"/>
  <c r="D100" i="18" l="1"/>
  <c r="L32" i="25"/>
  <c r="J145" i="18"/>
  <c r="J130" i="18"/>
  <c r="J100" i="18"/>
  <c r="D70" i="18"/>
  <c r="F161" i="18"/>
  <c r="F162" i="18" s="1"/>
  <c r="J54" i="18"/>
  <c r="J37" i="18"/>
  <c r="G161" i="18"/>
  <c r="G162" i="18" s="1"/>
  <c r="E161" i="18"/>
  <c r="E162" i="18" s="1"/>
  <c r="D85" i="18"/>
  <c r="D22" i="18"/>
  <c r="H161" i="18"/>
  <c r="H162" i="18" s="1"/>
  <c r="D107" i="18"/>
  <c r="D115" i="18" s="1"/>
  <c r="J115" i="18" l="1"/>
  <c r="J70" i="18"/>
  <c r="L22" i="18"/>
  <c r="K160" i="18"/>
  <c r="L160" i="18" s="1"/>
  <c r="N159" i="18" s="1"/>
  <c r="J22" i="18"/>
  <c r="L151" i="18"/>
  <c r="D152" i="18"/>
  <c r="D160" i="18" s="1"/>
  <c r="J160" i="18" l="1"/>
  <c r="N160" i="18"/>
  <c r="D37" i="24" l="1"/>
  <c r="K154" i="24" l="1"/>
  <c r="D161" i="24"/>
  <c r="D112" i="24"/>
  <c r="D116" i="24" s="1"/>
  <c r="D53" i="24"/>
  <c r="D152" i="24"/>
  <c r="D135" i="24"/>
  <c r="D123" i="24"/>
  <c r="D124" i="24" s="1"/>
  <c r="D105" i="24"/>
  <c r="D101" i="24"/>
  <c r="D57" i="24"/>
  <c r="D63" i="24" s="1"/>
  <c r="D41" i="24"/>
  <c r="D46" i="24" s="1"/>
  <c r="D30" i="24"/>
  <c r="D129" i="24"/>
  <c r="D84" i="24"/>
  <c r="D68" i="24"/>
  <c r="D20" i="24"/>
  <c r="D22" i="24" s="1"/>
  <c r="M162" i="24" l="1"/>
  <c r="K65" i="24" l="1"/>
  <c r="D65" i="24"/>
  <c r="D70" i="24" s="1"/>
  <c r="C70" i="24"/>
  <c r="K69" i="24"/>
  <c r="D69" i="24"/>
  <c r="L69" i="24" l="1"/>
  <c r="L68" i="24"/>
  <c r="L67" i="24"/>
  <c r="L66" i="24"/>
  <c r="L65" i="24" l="1"/>
  <c r="K126" i="24" l="1"/>
  <c r="D131" i="24"/>
  <c r="K48" i="24"/>
  <c r="M138" i="24" l="1"/>
  <c r="H155" i="24" l="1"/>
  <c r="H162" i="24" s="1"/>
  <c r="G155" i="24"/>
  <c r="G162" i="24" s="1"/>
  <c r="F155" i="24"/>
  <c r="F162" i="24" s="1"/>
  <c r="E155" i="24"/>
  <c r="E162" i="24" s="1"/>
  <c r="C155" i="24"/>
  <c r="L153" i="24"/>
  <c r="L152" i="24"/>
  <c r="L151" i="24"/>
  <c r="H147" i="24"/>
  <c r="G147" i="24"/>
  <c r="F147" i="24"/>
  <c r="E147" i="24"/>
  <c r="C147" i="24"/>
  <c r="K146" i="24"/>
  <c r="D146" i="24"/>
  <c r="D147" i="24" s="1"/>
  <c r="L145" i="24"/>
  <c r="L144" i="24"/>
  <c r="L143" i="24"/>
  <c r="L142" i="24"/>
  <c r="H140" i="24"/>
  <c r="G140" i="24"/>
  <c r="F140" i="24"/>
  <c r="E140" i="24"/>
  <c r="C140" i="24"/>
  <c r="L137" i="24"/>
  <c r="L136" i="24"/>
  <c r="L135" i="24"/>
  <c r="H131" i="24"/>
  <c r="Z133" i="24" s="1"/>
  <c r="G131" i="24"/>
  <c r="Y133" i="24" s="1"/>
  <c r="F131" i="24"/>
  <c r="X133" i="24" s="1"/>
  <c r="E131" i="24"/>
  <c r="W133" i="24" s="1"/>
  <c r="C131" i="24"/>
  <c r="L130" i="24"/>
  <c r="L129" i="24"/>
  <c r="L128" i="24"/>
  <c r="L127" i="24"/>
  <c r="L126" i="24"/>
  <c r="H124" i="24"/>
  <c r="G124" i="24"/>
  <c r="F124" i="24"/>
  <c r="E124" i="24"/>
  <c r="C124" i="24"/>
  <c r="K123" i="24"/>
  <c r="L122" i="24"/>
  <c r="L121" i="24"/>
  <c r="L120" i="24"/>
  <c r="H116" i="24"/>
  <c r="G116" i="24"/>
  <c r="F116" i="24"/>
  <c r="E116" i="24"/>
  <c r="C116" i="24"/>
  <c r="L115" i="24"/>
  <c r="L114" i="24"/>
  <c r="L113" i="24"/>
  <c r="L112" i="24"/>
  <c r="L111" i="24"/>
  <c r="H109" i="24"/>
  <c r="G109" i="24"/>
  <c r="F109" i="24"/>
  <c r="E109" i="24"/>
  <c r="C109" i="24"/>
  <c r="L108" i="24"/>
  <c r="L107" i="24"/>
  <c r="L105" i="24"/>
  <c r="H101" i="24"/>
  <c r="S103" i="24" s="1"/>
  <c r="G101" i="24"/>
  <c r="R103" i="24" s="1"/>
  <c r="F101" i="24"/>
  <c r="Q103" i="24" s="1"/>
  <c r="E101" i="24"/>
  <c r="P103" i="24" s="1"/>
  <c r="C101" i="24"/>
  <c r="L100" i="24"/>
  <c r="L99" i="24"/>
  <c r="L98" i="24"/>
  <c r="L97" i="24"/>
  <c r="L96" i="24"/>
  <c r="H94" i="24"/>
  <c r="G94" i="24"/>
  <c r="F94" i="24"/>
  <c r="E94" i="24"/>
  <c r="C94" i="24"/>
  <c r="D93" i="24"/>
  <c r="D94" i="24" s="1"/>
  <c r="L92" i="24"/>
  <c r="L91" i="24"/>
  <c r="L90" i="24"/>
  <c r="H86" i="24"/>
  <c r="G86" i="24"/>
  <c r="F86" i="24"/>
  <c r="E86" i="24"/>
  <c r="C86" i="24"/>
  <c r="L85" i="24"/>
  <c r="L84" i="24"/>
  <c r="L83" i="24"/>
  <c r="L82" i="24"/>
  <c r="L81" i="24"/>
  <c r="K80" i="24"/>
  <c r="D80" i="24"/>
  <c r="D86" i="24" s="1"/>
  <c r="H78" i="24"/>
  <c r="G78" i="24"/>
  <c r="F78" i="24"/>
  <c r="E78" i="24"/>
  <c r="C78" i="24"/>
  <c r="K77" i="24"/>
  <c r="K93" i="24" s="1"/>
  <c r="D77" i="24"/>
  <c r="D78" i="24" s="1"/>
  <c r="L76" i="24"/>
  <c r="L75" i="24"/>
  <c r="L74" i="24"/>
  <c r="M66" i="24"/>
  <c r="H63" i="24"/>
  <c r="G63" i="24"/>
  <c r="F63" i="24"/>
  <c r="E63" i="24"/>
  <c r="C63" i="24"/>
  <c r="L62" i="24"/>
  <c r="K61" i="24"/>
  <c r="L61" i="24" s="1"/>
  <c r="L60" i="24"/>
  <c r="L59" i="24"/>
  <c r="L57" i="24"/>
  <c r="H53" i="24"/>
  <c r="G53" i="24"/>
  <c r="F53" i="24"/>
  <c r="E53" i="24"/>
  <c r="C53" i="24"/>
  <c r="K52" i="24"/>
  <c r="L51" i="24"/>
  <c r="L50" i="24"/>
  <c r="L49" i="24"/>
  <c r="L48" i="24"/>
  <c r="C46" i="24"/>
  <c r="L45" i="24"/>
  <c r="K44" i="24"/>
  <c r="L44" i="24" s="1"/>
  <c r="L43" i="24"/>
  <c r="L42" i="24"/>
  <c r="L41" i="24"/>
  <c r="H46" i="24"/>
  <c r="Z47" i="24" s="1"/>
  <c r="G46" i="24"/>
  <c r="Y47" i="24" s="1"/>
  <c r="F46" i="24"/>
  <c r="X47" i="24" s="1"/>
  <c r="E46" i="24"/>
  <c r="W47" i="24" s="1"/>
  <c r="H37" i="24"/>
  <c r="G37" i="24"/>
  <c r="F37" i="24"/>
  <c r="E37" i="24"/>
  <c r="C37" i="24"/>
  <c r="L36" i="24"/>
  <c r="L35" i="24"/>
  <c r="L34" i="24"/>
  <c r="L33" i="24"/>
  <c r="L32" i="24"/>
  <c r="H30" i="24"/>
  <c r="G30" i="24"/>
  <c r="F30" i="24"/>
  <c r="E30" i="24"/>
  <c r="C30" i="24"/>
  <c r="L29" i="24"/>
  <c r="L28" i="24"/>
  <c r="L26" i="24"/>
  <c r="K23" i="24"/>
  <c r="H22" i="24"/>
  <c r="G22" i="24"/>
  <c r="F22" i="24"/>
  <c r="E22" i="24"/>
  <c r="C22" i="24"/>
  <c r="L21" i="24"/>
  <c r="L20" i="24"/>
  <c r="L19" i="24"/>
  <c r="L18" i="24"/>
  <c r="L17" i="24"/>
  <c r="H15" i="24"/>
  <c r="G15" i="24"/>
  <c r="F15" i="24"/>
  <c r="E15" i="24"/>
  <c r="C15" i="24"/>
  <c r="N14" i="24"/>
  <c r="L14" i="24"/>
  <c r="K13" i="24"/>
  <c r="K139" i="24" s="1"/>
  <c r="D13" i="24"/>
  <c r="L12" i="24"/>
  <c r="L11" i="24"/>
  <c r="L10" i="24"/>
  <c r="H71" i="24" l="1"/>
  <c r="Z64" i="24"/>
  <c r="G71" i="24"/>
  <c r="Y64" i="24"/>
  <c r="F71" i="24"/>
  <c r="X64" i="24"/>
  <c r="E71" i="24"/>
  <c r="W64" i="24"/>
  <c r="D139" i="24"/>
  <c r="D140" i="24" s="1"/>
  <c r="D15" i="24"/>
  <c r="D23" i="24" s="1"/>
  <c r="L80" i="24"/>
  <c r="F54" i="24"/>
  <c r="H87" i="24"/>
  <c r="E148" i="24"/>
  <c r="H102" i="24"/>
  <c r="E117" i="24"/>
  <c r="H132" i="24"/>
  <c r="G148" i="24"/>
  <c r="F148" i="24"/>
  <c r="G23" i="24"/>
  <c r="E38" i="24"/>
  <c r="G54" i="24"/>
  <c r="F102" i="24"/>
  <c r="G117" i="24"/>
  <c r="F132" i="24"/>
  <c r="H23" i="24"/>
  <c r="F38" i="24"/>
  <c r="E23" i="24"/>
  <c r="G38" i="24"/>
  <c r="H54" i="24"/>
  <c r="L52" i="24"/>
  <c r="E87" i="24"/>
  <c r="G102" i="24"/>
  <c r="H117" i="24"/>
  <c r="G132" i="24"/>
  <c r="F23" i="24"/>
  <c r="D38" i="24"/>
  <c r="H38" i="24"/>
  <c r="E54" i="24"/>
  <c r="E102" i="24"/>
  <c r="F117" i="24"/>
  <c r="E132" i="24"/>
  <c r="H148" i="24"/>
  <c r="L77" i="24"/>
  <c r="L93" i="24"/>
  <c r="L123" i="24"/>
  <c r="L146" i="24"/>
  <c r="G87" i="24"/>
  <c r="F87" i="24"/>
  <c r="D54" i="24"/>
  <c r="D102" i="24"/>
  <c r="J102" i="24" s="1"/>
  <c r="D132" i="24"/>
  <c r="D71" i="24"/>
  <c r="D87" i="24"/>
  <c r="D109" i="24"/>
  <c r="L13" i="24"/>
  <c r="L139" i="24" l="1"/>
  <c r="J132" i="24"/>
  <c r="J54" i="24"/>
  <c r="J38" i="24"/>
  <c r="J71" i="24"/>
  <c r="L23" i="24"/>
  <c r="J23" i="24"/>
  <c r="G163" i="24"/>
  <c r="G164" i="24" s="1"/>
  <c r="E163" i="24"/>
  <c r="E164" i="24" s="1"/>
  <c r="H163" i="24"/>
  <c r="H164" i="24" s="1"/>
  <c r="F163" i="24"/>
  <c r="F164" i="24" s="1"/>
  <c r="K106" i="24"/>
  <c r="D155" i="24"/>
  <c r="D117" i="24"/>
  <c r="J117" i="24" l="1"/>
  <c r="L154" i="24"/>
  <c r="L106" i="24"/>
  <c r="D148" i="24"/>
  <c r="K138" i="24"/>
  <c r="L138" i="24" s="1"/>
  <c r="D162" i="24"/>
  <c r="J162" i="24" l="1"/>
  <c r="J148" i="24"/>
  <c r="K162" i="24"/>
  <c r="L162" i="24" s="1"/>
  <c r="N161" i="24" l="1"/>
  <c r="N166" i="24" s="1"/>
  <c r="N162" i="24"/>
  <c r="C5" i="21" l="1"/>
  <c r="D48" i="23" l="1"/>
  <c r="D8" i="23"/>
  <c r="D46" i="23"/>
  <c r="D63" i="23"/>
  <c r="D3" i="23"/>
  <c r="D77" i="23"/>
  <c r="D56" i="23"/>
  <c r="D28" i="23"/>
  <c r="D7" i="23"/>
  <c r="D54" i="23"/>
  <c r="D2" i="23"/>
  <c r="D49" i="23"/>
  <c r="D62" i="23"/>
  <c r="D11" i="23"/>
  <c r="D9" i="23"/>
  <c r="D51" i="23"/>
  <c r="D68" i="23"/>
  <c r="D22" i="23"/>
  <c r="D1" i="23"/>
  <c r="D45" i="23"/>
  <c r="D67" i="23"/>
  <c r="D57" i="23"/>
  <c r="D10" i="23"/>
  <c r="D66" i="23"/>
  <c r="D38" i="23"/>
  <c r="D61" i="23"/>
  <c r="D71" i="23"/>
  <c r="D44" i="23"/>
  <c r="D4" i="23"/>
  <c r="D58" i="23"/>
  <c r="D95" i="23"/>
  <c r="D29" i="23"/>
  <c r="D50" i="23"/>
  <c r="D27" i="23"/>
  <c r="D21" i="23"/>
  <c r="E6" i="22" l="1"/>
  <c r="E8" i="22"/>
  <c r="E12" i="22"/>
  <c r="E3" i="22"/>
  <c r="E11" i="22"/>
  <c r="E5" i="22"/>
  <c r="E15" i="22"/>
  <c r="D8" i="22"/>
  <c r="D14" i="22"/>
  <c r="D6" i="22"/>
  <c r="D12" i="22"/>
  <c r="D4" i="22"/>
  <c r="D7" i="22"/>
  <c r="D11" i="22"/>
  <c r="D13" i="22"/>
  <c r="D3" i="22"/>
  <c r="C15" i="22"/>
  <c r="C7" i="22"/>
  <c r="C6" i="22"/>
  <c r="C13" i="22"/>
  <c r="C12" i="22"/>
  <c r="C8" i="22"/>
  <c r="C4" i="22"/>
  <c r="C5" i="22"/>
  <c r="C3" i="22"/>
  <c r="B7" i="22"/>
  <c r="B6" i="22"/>
  <c r="C24" i="20" l="1"/>
  <c r="F29" i="21" l="1"/>
  <c r="F21" i="21"/>
  <c r="C29" i="21"/>
  <c r="C22" i="21"/>
  <c r="I14" i="21"/>
  <c r="I7" i="21"/>
  <c r="F13" i="21"/>
  <c r="F6" i="21"/>
  <c r="C14" i="21"/>
  <c r="F32" i="20"/>
  <c r="F22" i="20"/>
  <c r="C31" i="20"/>
  <c r="I14" i="20"/>
  <c r="I7" i="20"/>
  <c r="F14" i="20"/>
  <c r="F6" i="20"/>
  <c r="C14" i="20"/>
  <c r="C6" i="20"/>
  <c r="C89" i="19" l="1"/>
  <c r="C154" i="19"/>
  <c r="C147" i="19"/>
  <c r="C140" i="19"/>
  <c r="D132" i="19"/>
  <c r="C133" i="19"/>
  <c r="C126" i="19"/>
  <c r="C118" i="19"/>
  <c r="C111" i="19"/>
  <c r="G110" i="19"/>
  <c r="F110" i="19"/>
  <c r="E110" i="19"/>
  <c r="C103" i="19"/>
  <c r="C96" i="19"/>
  <c r="G95" i="19"/>
  <c r="F95" i="19"/>
  <c r="E95" i="19"/>
  <c r="C81" i="19"/>
  <c r="C73" i="19"/>
  <c r="C62" i="19"/>
  <c r="C65" i="19" s="1"/>
  <c r="C58" i="19"/>
  <c r="G56" i="19"/>
  <c r="F56" i="19"/>
  <c r="E56" i="19"/>
  <c r="C50" i="19"/>
  <c r="C43" i="19"/>
  <c r="C36" i="19"/>
  <c r="D10" i="19"/>
  <c r="C29" i="19"/>
  <c r="C21" i="19"/>
  <c r="C14" i="19"/>
  <c r="G12" i="19"/>
  <c r="F12" i="19"/>
  <c r="E12" i="19"/>
  <c r="G125" i="19" l="1"/>
  <c r="F125" i="19"/>
  <c r="E125" i="19"/>
  <c r="E126" i="19" s="1"/>
  <c r="D122" i="19"/>
  <c r="D126" i="19" s="1"/>
  <c r="F121" i="19"/>
  <c r="D121" i="19"/>
  <c r="G64" i="19"/>
  <c r="F64" i="19"/>
  <c r="E64" i="19"/>
  <c r="G63" i="19"/>
  <c r="F62" i="19"/>
  <c r="D62" i="19"/>
  <c r="D65" i="19" s="1"/>
  <c r="D45" i="19"/>
  <c r="G49" i="19"/>
  <c r="G50" i="19"/>
  <c r="F49" i="19"/>
  <c r="F50" i="19" s="1"/>
  <c r="E49" i="19"/>
  <c r="D47" i="19"/>
  <c r="D46" i="19"/>
  <c r="H154" i="19"/>
  <c r="G153" i="19"/>
  <c r="G154" i="19" s="1"/>
  <c r="F153" i="19"/>
  <c r="E153" i="19"/>
  <c r="E154" i="19" s="1"/>
  <c r="D152" i="19"/>
  <c r="D154" i="19" s="1"/>
  <c r="D151" i="19"/>
  <c r="F150" i="19"/>
  <c r="D149" i="19"/>
  <c r="H147" i="19"/>
  <c r="H155" i="19" s="1"/>
  <c r="G147" i="19"/>
  <c r="F147" i="19"/>
  <c r="E147" i="19"/>
  <c r="D146" i="19"/>
  <c r="D144" i="19"/>
  <c r="H140" i="19"/>
  <c r="H141" i="19" s="1"/>
  <c r="F140" i="19"/>
  <c r="E140" i="19"/>
  <c r="G137" i="19"/>
  <c r="G140" i="19"/>
  <c r="D137" i="19"/>
  <c r="D135" i="19"/>
  <c r="D140" i="19" s="1"/>
  <c r="H133" i="19"/>
  <c r="G133" i="19"/>
  <c r="G141" i="19" s="1"/>
  <c r="F133" i="19"/>
  <c r="F141" i="19" s="1"/>
  <c r="E133" i="19"/>
  <c r="E141" i="19" s="1"/>
  <c r="D133" i="19"/>
  <c r="H126" i="19"/>
  <c r="G126" i="19"/>
  <c r="H118" i="19"/>
  <c r="G118" i="19"/>
  <c r="F118" i="19"/>
  <c r="E118" i="19"/>
  <c r="D117" i="19"/>
  <c r="D115" i="19"/>
  <c r="H111" i="19"/>
  <c r="G109" i="19"/>
  <c r="G111" i="19"/>
  <c r="G112" i="19" s="1"/>
  <c r="F109" i="19"/>
  <c r="F111" i="19" s="1"/>
  <c r="E109" i="19"/>
  <c r="E111" i="19"/>
  <c r="D105" i="19"/>
  <c r="D111" i="19" s="1"/>
  <c r="H103" i="19"/>
  <c r="G103" i="19"/>
  <c r="F103" i="19"/>
  <c r="E103" i="19"/>
  <c r="D102" i="19"/>
  <c r="D100" i="19"/>
  <c r="D103" i="19" s="1"/>
  <c r="H94" i="19"/>
  <c r="H96" i="19" s="1"/>
  <c r="D92" i="19"/>
  <c r="D96" i="19" s="1"/>
  <c r="H89" i="19"/>
  <c r="D89" i="19"/>
  <c r="G87" i="19"/>
  <c r="G89" i="19" s="1"/>
  <c r="F87" i="19"/>
  <c r="F89" i="19" s="1"/>
  <c r="E87" i="19"/>
  <c r="E89" i="19" s="1"/>
  <c r="H81" i="19"/>
  <c r="G80" i="19"/>
  <c r="F80" i="19"/>
  <c r="E80" i="19"/>
  <c r="G79" i="19"/>
  <c r="G94" i="19" s="1"/>
  <c r="G96" i="19" s="1"/>
  <c r="F79" i="19"/>
  <c r="F94" i="19" s="1"/>
  <c r="F96" i="19" s="1"/>
  <c r="E79" i="19"/>
  <c r="E94" i="19" s="1"/>
  <c r="E96" i="19" s="1"/>
  <c r="G77" i="19"/>
  <c r="G81" i="19" s="1"/>
  <c r="F75" i="19"/>
  <c r="F81" i="19" s="1"/>
  <c r="D75" i="19"/>
  <c r="D81" i="19" s="1"/>
  <c r="H73" i="19"/>
  <c r="D73" i="19"/>
  <c r="G71" i="19"/>
  <c r="G73" i="19" s="1"/>
  <c r="F71" i="19"/>
  <c r="F73" i="19" s="1"/>
  <c r="E71" i="19"/>
  <c r="E73" i="19" s="1"/>
  <c r="H65" i="19"/>
  <c r="E65" i="19"/>
  <c r="H58" i="19"/>
  <c r="G58" i="19"/>
  <c r="F58" i="19"/>
  <c r="E58" i="19"/>
  <c r="E66" i="19" s="1"/>
  <c r="D58" i="19"/>
  <c r="H50" i="19"/>
  <c r="E50" i="19"/>
  <c r="D50" i="19"/>
  <c r="H43" i="19"/>
  <c r="G43" i="19"/>
  <c r="F43" i="19"/>
  <c r="E43" i="19"/>
  <c r="D40" i="19"/>
  <c r="D43" i="19" s="1"/>
  <c r="H36" i="19"/>
  <c r="G35" i="19"/>
  <c r="G36" i="19" s="1"/>
  <c r="F35" i="19"/>
  <c r="F36" i="19" s="1"/>
  <c r="E35" i="19"/>
  <c r="E36" i="19" s="1"/>
  <c r="D31" i="19"/>
  <c r="D36" i="19" s="1"/>
  <c r="H29" i="19"/>
  <c r="H37" i="19" s="1"/>
  <c r="G29" i="19"/>
  <c r="F29" i="19"/>
  <c r="E29" i="19"/>
  <c r="D29" i="19"/>
  <c r="H21" i="19"/>
  <c r="G20" i="19"/>
  <c r="F20" i="19"/>
  <c r="E20" i="19"/>
  <c r="E21" i="19" s="1"/>
  <c r="G18" i="19"/>
  <c r="F17" i="19"/>
  <c r="F21" i="19"/>
  <c r="D16" i="19"/>
  <c r="D21" i="19" s="1"/>
  <c r="H14" i="19"/>
  <c r="H22" i="19" s="1"/>
  <c r="G14" i="19"/>
  <c r="F14" i="19"/>
  <c r="F22" i="19" s="1"/>
  <c r="E14" i="19"/>
  <c r="D13" i="19"/>
  <c r="D14" i="19" s="1"/>
  <c r="G21" i="19"/>
  <c r="F126" i="19"/>
  <c r="H82" i="19"/>
  <c r="F51" i="19" l="1"/>
  <c r="F65" i="19"/>
  <c r="H127" i="19"/>
  <c r="F154" i="19"/>
  <c r="F155" i="19" s="1"/>
  <c r="G65" i="19"/>
  <c r="E81" i="19"/>
  <c r="D118" i="19"/>
  <c r="D127" i="19" s="1"/>
  <c r="D147" i="19"/>
  <c r="D155" i="19" s="1"/>
  <c r="H112" i="19"/>
  <c r="G127" i="19"/>
  <c r="G51" i="19"/>
  <c r="E127" i="19"/>
  <c r="F127" i="19"/>
  <c r="D66" i="19"/>
  <c r="H51" i="19"/>
  <c r="D141" i="19"/>
  <c r="G37" i="19"/>
  <c r="H66" i="19"/>
  <c r="G155" i="19"/>
  <c r="G66" i="19"/>
  <c r="E51" i="19"/>
  <c r="H97" i="19"/>
  <c r="F112" i="19"/>
  <c r="E82" i="19"/>
  <c r="G22" i="19"/>
  <c r="E155" i="19"/>
  <c r="F66" i="19"/>
  <c r="E37" i="19"/>
  <c r="D51" i="19"/>
  <c r="F82" i="19"/>
  <c r="D82" i="19"/>
  <c r="D112" i="19"/>
  <c r="D22" i="19"/>
  <c r="E22" i="19"/>
  <c r="D37" i="19"/>
  <c r="F37" i="19"/>
  <c r="G82" i="19"/>
  <c r="D97" i="19"/>
  <c r="E112" i="19"/>
  <c r="E97" i="19"/>
  <c r="F97" i="19"/>
  <c r="G97" i="19"/>
  <c r="H156" i="19" l="1"/>
  <c r="H157" i="19" s="1"/>
  <c r="E156" i="19"/>
  <c r="E157" i="19" s="1"/>
  <c r="G156" i="19"/>
  <c r="G157" i="19" s="1"/>
  <c r="F156" i="19"/>
  <c r="F157" i="19" s="1"/>
  <c r="F1" i="25"/>
  <c r="H1" i="25"/>
  <c r="E1" i="25"/>
  <c r="G1" i="25"/>
</calcChain>
</file>

<file path=xl/sharedStrings.xml><?xml version="1.0" encoding="utf-8"?>
<sst xmlns="http://schemas.openxmlformats.org/spreadsheetml/2006/main" count="1393" uniqueCount="224">
  <si>
    <t>Хлеб пшеничный</t>
  </si>
  <si>
    <t>Напиток из шиповника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</si>
  <si>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</si>
  <si>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</si>
  <si>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</si>
  <si>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</si>
  <si>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</si>
  <si>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</si>
  <si>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</si>
  <si>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</si>
  <si>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</si>
  <si>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</si>
  <si>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</si>
  <si>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</si>
  <si>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</si>
  <si>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</si>
  <si>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</si>
  <si>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</si>
  <si>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</si>
  <si>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</si>
  <si>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Итого</t>
  </si>
  <si>
    <t>Овощи порционно</t>
  </si>
  <si>
    <t>Рис отварной</t>
  </si>
  <si>
    <t>Омлет натуральный</t>
  </si>
  <si>
    <t>Кондитерское изделия</t>
  </si>
  <si>
    <t xml:space="preserve">Компот плодово-ягодный </t>
  </si>
  <si>
    <t>Чай с сахаром</t>
  </si>
  <si>
    <t>Цена</t>
  </si>
  <si>
    <t>Напиток из сока плодово-ягодного</t>
  </si>
  <si>
    <t>Компот из сухофруктов</t>
  </si>
  <si>
    <t>Рассольник "Ленинградский"</t>
  </si>
  <si>
    <t xml:space="preserve">Фрукт </t>
  </si>
  <si>
    <t>Суп  лапша куриная</t>
  </si>
  <si>
    <t>Фрукт</t>
  </si>
  <si>
    <t>Макароны отварные</t>
  </si>
  <si>
    <t>Тефтели  с соусом 60/30</t>
  </si>
  <si>
    <t>пр</t>
  </si>
  <si>
    <t>1.5</t>
  </si>
  <si>
    <t>1.6</t>
  </si>
  <si>
    <t>7.10</t>
  </si>
  <si>
    <t>Каша молочная пшенная с м/сл 200/5</t>
  </si>
  <si>
    <t xml:space="preserve">Борщ с капустой , картофелем </t>
  </si>
  <si>
    <t>Фрикадельки мясные "деревенские" в соусе  60/30</t>
  </si>
  <si>
    <t xml:space="preserve">Котлеты куриные в соусе </t>
  </si>
  <si>
    <t>3</t>
  </si>
  <si>
    <t>Булочка сдобная</t>
  </si>
  <si>
    <t>Итого за  10 дней:</t>
  </si>
  <si>
    <t xml:space="preserve">         Итого в среднем за день :</t>
  </si>
  <si>
    <t>Меню приготавливаемых блюд  для детей в лагере дневного пребывания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</si>
  <si>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</si>
  <si>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</si>
  <si>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</si>
  <si>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 10: пятница</t>
  </si>
  <si>
    <t>Бутерброд с сыром 30/15</t>
  </si>
  <si>
    <t xml:space="preserve">Свекольник </t>
  </si>
  <si>
    <t>Плов из отварного мяса</t>
  </si>
  <si>
    <t>Чай с лимоном</t>
  </si>
  <si>
    <t>154</t>
  </si>
  <si>
    <t>Каша гречневая рассыпчатая</t>
  </si>
  <si>
    <t xml:space="preserve">Суп картофельный с бобовыми </t>
  </si>
  <si>
    <t>Компот из свежих ягод</t>
  </si>
  <si>
    <t xml:space="preserve">Каша молочная гречневая </t>
  </si>
  <si>
    <t>Запеканка рисово-творожная с ягодным соусом  (130/10)</t>
  </si>
  <si>
    <t>Картофельное пюре/Каша гречневая рассыпчатая</t>
  </si>
  <si>
    <t>Суп крестьянский с крупой / Щи из св.капусты с картофелем</t>
  </si>
  <si>
    <t xml:space="preserve">Жаркое по- домашнему с мясом </t>
  </si>
  <si>
    <t>неделя: 2              день6: понедельник</t>
  </si>
  <si>
    <t>неделя: 2               день 7: вторник</t>
  </si>
  <si>
    <t>неделя: 2               день 8: среда</t>
  </si>
  <si>
    <t>неделя: 2               день 9: четверг</t>
  </si>
  <si>
    <t>Пельмени с соусом/ Каша гречневая  с фрикадельками</t>
  </si>
  <si>
    <t>Тефтели  с соусом 60/40</t>
  </si>
  <si>
    <t>Кондитерское изделия( печенье сахарное)</t>
  </si>
  <si>
    <t>Гуляш из мяса  45/45</t>
  </si>
  <si>
    <t>Хлеб ржаной/ Хлеб пшеничный</t>
  </si>
  <si>
    <t>Плюшка Московская</t>
  </si>
  <si>
    <t>Сырники со сгущеным молоком  (150/50)</t>
  </si>
  <si>
    <t>Каша молочная рисовая с м/сл 250/5</t>
  </si>
  <si>
    <t xml:space="preserve">пр </t>
  </si>
  <si>
    <t>Каша молочная с маслом сливочным (дружба) 250/5</t>
  </si>
  <si>
    <t>Запеканка рисово-творожная с ягодным соусом  (240/10)</t>
  </si>
  <si>
    <t>Фрикадельки мясные "деревенские" в соусе  60/40</t>
  </si>
  <si>
    <t>Каша молочная пшенная с м/сл 250/5</t>
  </si>
  <si>
    <t>Оладьи  со сгущ.молоком 200/10</t>
  </si>
  <si>
    <t>Хлеб ржаной/Хлеб пшеничный</t>
  </si>
  <si>
    <t>Каша молочная  с м/сл 250/5</t>
  </si>
  <si>
    <t>Примерное меню приготовляемых блюд  для детей с 11 до 18 лет.</t>
  </si>
  <si>
    <t xml:space="preserve">Филе куриное в  соусе </t>
  </si>
  <si>
    <t>Картофельное пюре</t>
  </si>
  <si>
    <t>Йогурт</t>
  </si>
  <si>
    <t xml:space="preserve">Биточки куриные в соусе </t>
  </si>
  <si>
    <t xml:space="preserve"> Щи из св.капусты с картофелем</t>
  </si>
  <si>
    <t xml:space="preserve">Каша молочная </t>
  </si>
  <si>
    <t>Запеканка рисово-творожная со сгущенкой  (130/10)</t>
  </si>
  <si>
    <t>Запеканка</t>
  </si>
  <si>
    <t>1 раз</t>
  </si>
  <si>
    <t xml:space="preserve">Фрикадельки </t>
  </si>
  <si>
    <t>Гуляш</t>
  </si>
  <si>
    <t xml:space="preserve">Оладьи </t>
  </si>
  <si>
    <t>ежики</t>
  </si>
  <si>
    <t>Биточки кур</t>
  </si>
  <si>
    <t>Рыба</t>
  </si>
  <si>
    <t xml:space="preserve">Котлеты мясные в соусе </t>
  </si>
  <si>
    <t>Каша молочная</t>
  </si>
  <si>
    <t xml:space="preserve">Сырники </t>
  </si>
  <si>
    <t>Блины</t>
  </si>
  <si>
    <t>Котлеты мясные</t>
  </si>
  <si>
    <t>Жаркое</t>
  </si>
  <si>
    <t>Омлет</t>
  </si>
  <si>
    <t>Филе курин в соусе</t>
  </si>
  <si>
    <t>Филе куриное в  сухарях</t>
  </si>
  <si>
    <t>Филе курин в сухарях</t>
  </si>
  <si>
    <t>день 1</t>
  </si>
  <si>
    <t>день 2</t>
  </si>
  <si>
    <t>день 3</t>
  </si>
  <si>
    <t>день 4</t>
  </si>
  <si>
    <t>день 5</t>
  </si>
  <si>
    <t>Суп рисовый на курином бульоне</t>
  </si>
  <si>
    <t>Лимон</t>
  </si>
  <si>
    <t xml:space="preserve">Омлет натуральный </t>
  </si>
  <si>
    <t>Яйцо отварное</t>
  </si>
  <si>
    <t>Обед</t>
  </si>
  <si>
    <t>Ёжики  с соусом 60/30</t>
  </si>
  <si>
    <t>Булочка малютка</t>
  </si>
  <si>
    <t>День 6</t>
  </si>
  <si>
    <t>День 7</t>
  </si>
  <si>
    <t>День 8</t>
  </si>
  <si>
    <t>День 9</t>
  </si>
  <si>
    <t>День 10</t>
  </si>
  <si>
    <t>Сырники со сгущеным молоком  (100/10)</t>
  </si>
  <si>
    <t>Блинчики со сгущенкой 100/40</t>
  </si>
  <si>
    <t>Биточек нежный</t>
  </si>
  <si>
    <t>Макароные изделия отварные</t>
  </si>
  <si>
    <t>Биточки нежные мясные 60/40</t>
  </si>
  <si>
    <t xml:space="preserve">Каша молочная рисовая </t>
  </si>
  <si>
    <t xml:space="preserve">Оладьи  со сгущ.молоком </t>
  </si>
  <si>
    <t>Каша молочная дружба</t>
  </si>
  <si>
    <t>Мучное изделия</t>
  </si>
  <si>
    <t xml:space="preserve"> Котлеты рыбные с соусом</t>
  </si>
  <si>
    <t>Успехъ</t>
  </si>
  <si>
    <t>Сирафима</t>
  </si>
  <si>
    <t>Шипилина</t>
  </si>
  <si>
    <t>Гоголь</t>
  </si>
  <si>
    <t>Каша</t>
  </si>
  <si>
    <t>Сырники/ запеканка</t>
  </si>
  <si>
    <t>Блины/оладьи</t>
  </si>
  <si>
    <t>Смешаное блюдо</t>
  </si>
  <si>
    <t>Фрукты</t>
  </si>
  <si>
    <t>Мучное/кондитерское изделия</t>
  </si>
  <si>
    <t>Овощи</t>
  </si>
  <si>
    <t>Наименование</t>
  </si>
  <si>
    <t>Печень</t>
  </si>
  <si>
    <t>Яйцо</t>
  </si>
  <si>
    <t xml:space="preserve">Котлета мясная в соусе </t>
  </si>
  <si>
    <t>Филе куриное тушеное в соусе томатном40/50</t>
  </si>
  <si>
    <t>Борщ с капустой , картофелем на м/к бульоне</t>
  </si>
  <si>
    <t xml:space="preserve">Сырники с молочным соусом  (100/10) </t>
  </si>
  <si>
    <t>Суп картофельный с бобовыми  на м/к бульоне</t>
  </si>
  <si>
    <t>Бутерброт с сыром 30/15</t>
  </si>
  <si>
    <t>Кондитерское изделия( печенье сахарное, пряник) 1 шт.</t>
  </si>
  <si>
    <t xml:space="preserve">Щи из св.капусты с картофелем </t>
  </si>
  <si>
    <t>Йогурт фруктовый</t>
  </si>
  <si>
    <t>Плов с мясом</t>
  </si>
  <si>
    <t>Зелёный горошек</t>
  </si>
  <si>
    <t>Жаркое по- домашнему с мясом птицы</t>
  </si>
  <si>
    <t xml:space="preserve">Филе куриное в панировке </t>
  </si>
  <si>
    <t>Каша молочная рисовая  150/5</t>
  </si>
  <si>
    <t>Ёжик аппетитный  в соусе</t>
  </si>
  <si>
    <t xml:space="preserve">Биточек куриный в соусе  </t>
  </si>
  <si>
    <t xml:space="preserve">Суп с макаронными изделиями </t>
  </si>
  <si>
    <t>183</t>
  </si>
  <si>
    <t xml:space="preserve">Рис отварной </t>
  </si>
  <si>
    <t>Оладьи  со сгущ.молоком 100/20</t>
  </si>
  <si>
    <t xml:space="preserve">Тефтели  в томатном  соусе </t>
  </si>
  <si>
    <t xml:space="preserve">Картофельное пюре </t>
  </si>
  <si>
    <t>Рожки отварные с маслом</t>
  </si>
  <si>
    <t>блинчики</t>
  </si>
  <si>
    <t>Мучное изделия сдобное</t>
  </si>
  <si>
    <t xml:space="preserve"> </t>
  </si>
  <si>
    <t>Мясо птицы порционно</t>
  </si>
  <si>
    <t>Гуляш из мяса  40/50</t>
  </si>
  <si>
    <t>Рожки отварные</t>
  </si>
  <si>
    <t>2 раз</t>
  </si>
  <si>
    <t>Тефтели</t>
  </si>
  <si>
    <t>Плов</t>
  </si>
  <si>
    <t>Филе куриное в сухарях 40/50</t>
  </si>
  <si>
    <t>Филе куриное в томатном соусе 35/55</t>
  </si>
  <si>
    <t>Панкейки/Оладьи со сгущ.молоком 100/20</t>
  </si>
  <si>
    <t>Яблоко</t>
  </si>
  <si>
    <t xml:space="preserve">Суп картофелем с рисом </t>
  </si>
  <si>
    <t xml:space="preserve">Рожки отварные </t>
  </si>
  <si>
    <t>Суп картофельный с бобовыми на курином бульоне</t>
  </si>
  <si>
    <t>Компот из св/м  ягод</t>
  </si>
  <si>
    <t>Бутерброт с ветчиной 30/20</t>
  </si>
  <si>
    <t xml:space="preserve">Сырники со сгущенным молоком  (100/10) </t>
  </si>
  <si>
    <t xml:space="preserve">Каша молочная рисовая  </t>
  </si>
  <si>
    <t>Сок в индивидуальной упаковке</t>
  </si>
  <si>
    <t xml:space="preserve">Сырники со сгущенным молоком  (100/5) </t>
  </si>
  <si>
    <t>Филе куриное в сухарях 25/25</t>
  </si>
  <si>
    <t>Овоши порционные</t>
  </si>
  <si>
    <t>Плюшка новомосковская/ Кондитерское изделия</t>
  </si>
  <si>
    <t>Плюшка московская/ Кондитерское изделия 1 шт.</t>
  </si>
  <si>
    <t xml:space="preserve">Гуляш из мяса свинины </t>
  </si>
  <si>
    <t xml:space="preserve">Гуляш из мяса свинины  </t>
  </si>
  <si>
    <t xml:space="preserve">Фрикадельки мясные "деревенские" в соусе  </t>
  </si>
  <si>
    <t>Соус молочный</t>
  </si>
  <si>
    <t xml:space="preserve">Запеканка рисово-творожная </t>
  </si>
  <si>
    <t>Гуляш из мяса  25/25</t>
  </si>
  <si>
    <t>Панкейки/Оладьи со сгущ.молоком 100</t>
  </si>
  <si>
    <t>Запеканка рисово-творожная со сгущ.молоком</t>
  </si>
  <si>
    <t xml:space="preserve">Гуляш из мяса  </t>
  </si>
  <si>
    <t>Сдоба обыкновенная</t>
  </si>
  <si>
    <t>Гуляш из мяса  говядина</t>
  </si>
  <si>
    <t>Меню приготавливаемых блюд  для детей в лагере труда и отдыха  дневного пребывания</t>
  </si>
  <si>
    <t>Суп картофелем с крупой</t>
  </si>
  <si>
    <t>Суп картофельный  с крупой</t>
  </si>
  <si>
    <t>Суп рыбный с крупой</t>
  </si>
  <si>
    <t xml:space="preserve">Биточек мясной в соусе  </t>
  </si>
  <si>
    <t>Котлеты рыбные с соусом</t>
  </si>
  <si>
    <t>Булочка школьная</t>
  </si>
  <si>
    <t>Компот из сухофруктов/ Компот из св.ягод</t>
  </si>
  <si>
    <t>Напиток из св/м  ягод</t>
  </si>
  <si>
    <t>Кондитерское изделия( печенье сахарное, пряник ) 1 шт.</t>
  </si>
  <si>
    <t>Курица порционно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</si>
</sst>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sz val="9"/>
      <name val="Arial Cyr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3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4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/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164" fontId="6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/>
    <xf numFmtId="164" fontId="3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vertical="center" wrapText="1"/>
    </xf>
    <xf numFmtId="1" fontId="2" fillId="0" borderId="0" xfId="0" applyNumberFormat="1" applyFont="1" applyFill="1"/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/>
    </xf>
    <xf numFmtId="0" fontId="0" fillId="0" borderId="15" xfId="0" applyBorder="1"/>
    <xf numFmtId="0" fontId="13" fillId="0" borderId="16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right"/>
    </xf>
    <xf numFmtId="1" fontId="3" fillId="0" borderId="23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6" fillId="0" borderId="1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top" wrapText="1"/>
    </xf>
    <xf numFmtId="1" fontId="4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1" fontId="3" fillId="0" borderId="20" xfId="0" applyNumberFormat="1" applyFont="1" applyFill="1" applyBorder="1" applyAlignment="1">
      <alignment horizontal="center" vertical="top" wrapText="1"/>
    </xf>
    <xf numFmtId="3" fontId="4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/>
    </xf>
    <xf numFmtId="0" fontId="4" fillId="0" borderId="19" xfId="0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/>
    </xf>
    <xf numFmtId="0" fontId="4" fillId="0" borderId="4" xfId="0" applyFont="1" applyFill="1" applyBorder="1" applyAlignment="1"/>
    <xf numFmtId="0" fontId="7" fillId="0" borderId="21" xfId="0" applyFont="1" applyFill="1" applyBorder="1" applyAlignment="1">
      <alignment horizontal="right"/>
    </xf>
    <xf numFmtId="0" fontId="3" fillId="0" borderId="2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17" xfId="0" applyBorder="1"/>
    <xf numFmtId="0" fontId="4" fillId="0" borderId="4" xfId="0" applyFont="1" applyFill="1" applyBorder="1" applyAlignment="1">
      <alignment vertical="top" wrapText="1"/>
    </xf>
    <xf numFmtId="0" fontId="7" fillId="0" borderId="19" xfId="0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wrapText="1"/>
    </xf>
    <xf numFmtId="1" fontId="4" fillId="0" borderId="28" xfId="0" applyNumberFormat="1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1" fontId="3" fillId="0" borderId="30" xfId="0" applyNumberFormat="1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vertical="top" wrapText="1"/>
    </xf>
    <xf numFmtId="0" fontId="13" fillId="0" borderId="29" xfId="0" applyFont="1" applyBorder="1" applyAlignment="1">
      <alignment horizontal="center"/>
    </xf>
    <xf numFmtId="0" fontId="0" fillId="0" borderId="30" xfId="0" applyBorder="1"/>
    <xf numFmtId="0" fontId="6" fillId="0" borderId="11" xfId="0" applyFont="1" applyFill="1" applyBorder="1" applyAlignment="1">
      <alignment horizontal="left" vertical="center" wrapText="1"/>
    </xf>
    <xf numFmtId="1" fontId="6" fillId="0" borderId="28" xfId="0" applyNumberFormat="1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6" fillId="0" borderId="32" xfId="0" applyFont="1" applyFill="1" applyBorder="1" applyAlignment="1"/>
    <xf numFmtId="1" fontId="6" fillId="0" borderId="33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right"/>
    </xf>
    <xf numFmtId="1" fontId="3" fillId="0" borderId="35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/>
    <xf numFmtId="3" fontId="6" fillId="0" borderId="33" xfId="0" applyNumberFormat="1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Fill="1" applyBorder="1"/>
    <xf numFmtId="0" fontId="14" fillId="0" borderId="11" xfId="0" applyFont="1" applyBorder="1"/>
    <xf numFmtId="0" fontId="15" fillId="0" borderId="34" xfId="0" applyFont="1" applyBorder="1"/>
    <xf numFmtId="0" fontId="15" fillId="0" borderId="36" xfId="0" applyFont="1" applyBorder="1"/>
    <xf numFmtId="0" fontId="15" fillId="0" borderId="35" xfId="0" applyFont="1" applyBorder="1"/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top" wrapText="1"/>
    </xf>
    <xf numFmtId="0" fontId="16" fillId="0" borderId="0" xfId="0" applyFont="1" applyFill="1"/>
    <xf numFmtId="0" fontId="17" fillId="0" borderId="0" xfId="0" applyFont="1" applyFill="1"/>
    <xf numFmtId="2" fontId="16" fillId="0" borderId="0" xfId="0" applyNumberFormat="1" applyFont="1" applyFill="1"/>
    <xf numFmtId="4" fontId="3" fillId="0" borderId="2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/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/>
    <xf numFmtId="1" fontId="4" fillId="0" borderId="6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/>
    <xf numFmtId="1" fontId="6" fillId="0" borderId="38" xfId="0" applyNumberFormat="1" applyFont="1" applyFill="1" applyBorder="1" applyAlignment="1">
      <alignment horizontal="center"/>
    </xf>
    <xf numFmtId="0" fontId="6" fillId="0" borderId="21" xfId="0" applyFont="1" applyFill="1" applyBorder="1" applyAlignment="1"/>
    <xf numFmtId="1" fontId="6" fillId="0" borderId="23" xfId="0" applyNumberFormat="1" applyFont="1" applyFill="1" applyBorder="1" applyAlignment="1">
      <alignment horizontal="center"/>
    </xf>
    <xf numFmtId="10" fontId="16" fillId="0" borderId="0" xfId="0" applyNumberFormat="1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0" fontId="2" fillId="0" borderId="0" xfId="0" applyNumberFormat="1" applyFont="1" applyFill="1"/>
    <xf numFmtId="0" fontId="4" fillId="0" borderId="0" xfId="0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2" fontId="4" fillId="0" borderId="0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2" fontId="10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164" fontId="3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right" vertical="top" wrapText="1"/>
    </xf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4" fillId="0" borderId="0" xfId="0" applyFont="1" applyFill="1" applyBorder="1" applyAlignment="1">
      <alignment horizontal="left" vertical="center" wrapText="1"/>
    </xf>
    <xf numFmtId="2" fontId="9" fillId="0" borderId="0" xfId="0" applyNumberFormat="1" applyFont="1" applyFill="1"/>
    <xf numFmtId="1" fontId="6" fillId="2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2" fontId="4" fillId="0" borderId="10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1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/>
    </xf>
    <xf numFmtId="0" fontId="10" fillId="0" borderId="7" xfId="0" applyFont="1" applyFill="1" applyBorder="1" applyAlignment="1"/>
    <xf numFmtId="0" fontId="6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center"/>
    </xf>
    <xf numFmtId="0" fontId="10" fillId="0" borderId="2" xfId="0" applyFont="1" applyFill="1" applyBorder="1" applyAlignment="1"/>
    <xf numFmtId="0" fontId="4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/>
    <xf numFmtId="0" fontId="4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/>
    <xf numFmtId="0" fontId="6" fillId="0" borderId="7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1" fontId="4" fillId="0" borderId="7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vertical="top" wrapText="1"/>
    </xf>
    <xf numFmtId="1" fontId="6" fillId="0" borderId="9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/>
    <xf numFmtId="2" fontId="6" fillId="0" borderId="10" xfId="0" applyNumberFormat="1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 wrapText="1"/>
    </xf>
    <xf numFmtId="2" fontId="4" fillId="0" borderId="7" xfId="0" applyNumberFormat="1" applyFont="1" applyFill="1" applyBorder="1" applyAlignment="1">
      <alignment vertical="center" wrapText="1"/>
    </xf>
    <xf numFmtId="2" fontId="6" fillId="0" borderId="9" xfId="0" applyNumberFormat="1" applyFont="1" applyFill="1" applyBorder="1" applyAlignment="1">
      <alignment vertical="center" wrapText="1"/>
    </xf>
    <xf numFmtId="2" fontId="6" fillId="0" borderId="11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2" fontId="6" fillId="0" borderId="10" xfId="0" applyNumberFormat="1" applyFont="1" applyFill="1" applyBorder="1" applyAlignment="1"/>
    <xf numFmtId="2" fontId="4" fillId="0" borderId="39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wrapText="1"/>
    </xf>
    <xf numFmtId="2" fontId="6" fillId="0" borderId="2" xfId="0" applyNumberFormat="1" applyFont="1" applyFill="1" applyBorder="1" applyAlignment="1">
      <alignment vertical="center"/>
    </xf>
    <xf numFmtId="2" fontId="6" fillId="0" borderId="12" xfId="0" applyNumberFormat="1" applyFont="1" applyFill="1" applyBorder="1" applyAlignment="1">
      <alignment vertical="center"/>
    </xf>
    <xf numFmtId="2" fontId="4" fillId="0" borderId="14" xfId="0" applyNumberFormat="1" applyFont="1" applyFill="1" applyBorder="1" applyAlignment="1">
      <alignment vertical="center" wrapText="1"/>
    </xf>
    <xf numFmtId="4" fontId="6" fillId="0" borderId="9" xfId="0" applyNumberFormat="1" applyFont="1" applyFill="1" applyBorder="1" applyAlignment="1">
      <alignment vertical="center"/>
    </xf>
    <xf numFmtId="4" fontId="2" fillId="0" borderId="0" xfId="0" applyNumberFormat="1" applyFont="1" applyFill="1"/>
    <xf numFmtId="0" fontId="7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vertical="center" wrapText="1"/>
    </xf>
    <xf numFmtId="1" fontId="3" fillId="0" borderId="6" xfId="0" applyNumberFormat="1" applyFont="1" applyFill="1" applyBorder="1" applyAlignment="1">
      <alignment horizontal="center" vertical="top" wrapText="1"/>
    </xf>
    <xf numFmtId="2" fontId="3" fillId="0" borderId="6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3"/>
  <sheetViews>
    <sheetView workbookViewId="0">
      <selection activeCell="Z10" sqref="Z10"/>
    </sheetView>
  </sheetViews>
  <sheetFormatPr defaultRowHeight="15" x14ac:dyDescent="0.2"/>
  <cols>
    <col min="1" max="1" width="10" style="39" customWidth="1"/>
    <col min="2" max="2" width="57" style="11" customWidth="1"/>
    <col min="3" max="3" width="9.5703125" style="50" customWidth="1"/>
    <col min="4" max="4" width="13.42578125" style="36" customWidth="1"/>
    <col min="5" max="5" width="9.42578125" style="11" customWidth="1"/>
    <col min="6" max="7" width="10.7109375" style="11" customWidth="1"/>
    <col min="8" max="8" width="11.85546875" style="11" customWidth="1"/>
    <col min="9" max="10" width="11.85546875" style="11" hidden="1" customWidth="1"/>
    <col min="11" max="14" width="0" style="180" hidden="1" customWidth="1"/>
    <col min="15" max="23" width="0" style="11" hidden="1" customWidth="1"/>
    <col min="24" max="16384" width="9.140625" style="11"/>
  </cols>
  <sheetData>
    <row r="1" spans="1:19" ht="15" customHeight="1" x14ac:dyDescent="0.2">
      <c r="B1" s="337" t="s">
        <v>213</v>
      </c>
      <c r="C1" s="337"/>
      <c r="D1" s="337"/>
      <c r="E1" s="337"/>
      <c r="F1" s="337"/>
      <c r="G1" s="337"/>
      <c r="H1" s="38"/>
      <c r="I1" s="38"/>
      <c r="J1" s="38"/>
    </row>
    <row r="2" spans="1:19" x14ac:dyDescent="0.2">
      <c r="B2" s="338"/>
      <c r="C2" s="338"/>
      <c r="D2" s="338"/>
      <c r="E2" s="338"/>
      <c r="F2" s="338"/>
      <c r="G2" s="338"/>
    </row>
    <row r="3" spans="1:19" ht="15.75" customHeight="1" x14ac:dyDescent="0.2">
      <c r="A3" s="339" t="s">
        <v>14</v>
      </c>
      <c r="B3" s="342" t="s">
        <v>13</v>
      </c>
      <c r="C3" s="345" t="s">
        <v>6</v>
      </c>
      <c r="D3" s="348" t="s">
        <v>27</v>
      </c>
      <c r="E3" s="332" t="s">
        <v>7</v>
      </c>
      <c r="F3" s="332"/>
      <c r="G3" s="349"/>
      <c r="H3" s="351" t="s">
        <v>8</v>
      </c>
      <c r="I3" s="210"/>
      <c r="J3" s="210"/>
    </row>
    <row r="4" spans="1:19" ht="15.75" customHeight="1" x14ac:dyDescent="0.2">
      <c r="A4" s="340"/>
      <c r="B4" s="343"/>
      <c r="C4" s="346"/>
      <c r="D4" s="348"/>
      <c r="E4" s="330"/>
      <c r="F4" s="330"/>
      <c r="G4" s="350"/>
      <c r="H4" s="352"/>
      <c r="I4" s="210"/>
      <c r="J4" s="210"/>
    </row>
    <row r="5" spans="1:19" ht="15" customHeight="1" x14ac:dyDescent="0.2">
      <c r="A5" s="340"/>
      <c r="B5" s="343"/>
      <c r="C5" s="346"/>
      <c r="D5" s="348"/>
      <c r="E5" s="354" t="s">
        <v>2</v>
      </c>
      <c r="F5" s="342" t="s">
        <v>3</v>
      </c>
      <c r="G5" s="342" t="s">
        <v>4</v>
      </c>
      <c r="H5" s="352"/>
      <c r="I5" s="210"/>
      <c r="J5" s="210"/>
    </row>
    <row r="6" spans="1:19" ht="15" customHeight="1" x14ac:dyDescent="0.2">
      <c r="A6" s="340"/>
      <c r="B6" s="343"/>
      <c r="C6" s="346"/>
      <c r="D6" s="348"/>
      <c r="E6" s="355"/>
      <c r="F6" s="343"/>
      <c r="G6" s="343"/>
      <c r="H6" s="352"/>
      <c r="I6" s="210"/>
      <c r="J6" s="210"/>
    </row>
    <row r="7" spans="1:19" ht="33" customHeight="1" x14ac:dyDescent="0.2">
      <c r="A7" s="341"/>
      <c r="B7" s="344"/>
      <c r="C7" s="347"/>
      <c r="D7" s="348"/>
      <c r="E7" s="356"/>
      <c r="F7" s="344"/>
      <c r="G7" s="344"/>
      <c r="H7" s="353"/>
      <c r="I7" s="210"/>
      <c r="J7" s="210"/>
    </row>
    <row r="8" spans="1:19" ht="18.75" customHeight="1" x14ac:dyDescent="0.2">
      <c r="A8" s="331" t="s">
        <v>15</v>
      </c>
      <c r="B8" s="332"/>
      <c r="C8" s="231"/>
      <c r="D8" s="21"/>
      <c r="E8" s="21"/>
      <c r="F8" s="21"/>
      <c r="G8" s="21"/>
      <c r="H8" s="21"/>
      <c r="I8" s="16"/>
      <c r="J8" s="16"/>
    </row>
    <row r="9" spans="1:19" ht="18" customHeight="1" x14ac:dyDescent="0.2">
      <c r="A9" s="336" t="s">
        <v>10</v>
      </c>
      <c r="B9" s="336"/>
      <c r="C9" s="230"/>
      <c r="D9" s="34"/>
      <c r="E9" s="16"/>
      <c r="F9" s="10"/>
      <c r="G9" s="16"/>
      <c r="H9" s="16"/>
      <c r="I9" s="16"/>
      <c r="J9" s="16"/>
    </row>
    <row r="10" spans="1:19" ht="18" customHeight="1" x14ac:dyDescent="0.25">
      <c r="A10" s="41">
        <v>193</v>
      </c>
      <c r="B10" s="25" t="s">
        <v>136</v>
      </c>
      <c r="C10" s="46">
        <v>250</v>
      </c>
      <c r="D10" s="37">
        <f>28.53-3.01+1.85</f>
        <v>27.370000000000005</v>
      </c>
      <c r="E10" s="15">
        <f>13.5270061728395-0.41</f>
        <v>13.117006172839499</v>
      </c>
      <c r="F10" s="15">
        <f>18.8811728395061+3.56</f>
        <v>22.441172839506098</v>
      </c>
      <c r="G10" s="15">
        <f>37.9336419753086+6.9</f>
        <v>44.833641975308602</v>
      </c>
      <c r="H10" s="15">
        <f>375.65-7.85</f>
        <v>367.79999999999995</v>
      </c>
      <c r="I10" s="211"/>
      <c r="J10" s="211"/>
      <c r="K10" s="180">
        <v>10.89</v>
      </c>
      <c r="L10" s="201">
        <f>D10/K10-1</f>
        <v>1.5133149678604227</v>
      </c>
    </row>
    <row r="11" spans="1:19" ht="18" customHeight="1" x14ac:dyDescent="0.25">
      <c r="A11" s="41">
        <v>300</v>
      </c>
      <c r="B11" s="23" t="s">
        <v>26</v>
      </c>
      <c r="C11" s="51">
        <v>200</v>
      </c>
      <c r="D11" s="19">
        <v>4.03</v>
      </c>
      <c r="E11" s="4">
        <v>0.1</v>
      </c>
      <c r="F11" s="4">
        <v>0</v>
      </c>
      <c r="G11" s="4">
        <v>20.2</v>
      </c>
      <c r="H11" s="4">
        <v>81.2</v>
      </c>
      <c r="I11" s="212"/>
      <c r="J11" s="212"/>
      <c r="K11" s="180">
        <v>2.65</v>
      </c>
      <c r="L11" s="201">
        <f t="shared" ref="L11:L35" si="0">D11/K11-1</f>
        <v>0.52075471698113218</v>
      </c>
    </row>
    <row r="12" spans="1:19" ht="18" customHeight="1" x14ac:dyDescent="0.25">
      <c r="A12" s="41" t="s">
        <v>36</v>
      </c>
      <c r="B12" s="23" t="s">
        <v>118</v>
      </c>
      <c r="C12" s="51">
        <v>10</v>
      </c>
      <c r="D12" s="19">
        <v>2.87</v>
      </c>
      <c r="E12" s="19">
        <v>0.36399999999999999</v>
      </c>
      <c r="F12" s="19">
        <v>0.08</v>
      </c>
      <c r="G12" s="19">
        <v>0.32799999999999996</v>
      </c>
      <c r="H12" s="19">
        <v>3.5</v>
      </c>
      <c r="I12" s="213"/>
      <c r="J12" s="213"/>
      <c r="K12" s="180">
        <v>1.79</v>
      </c>
      <c r="L12" s="201">
        <f t="shared" si="0"/>
        <v>0.6033519553072626</v>
      </c>
    </row>
    <row r="13" spans="1:19" ht="18" customHeight="1" x14ac:dyDescent="0.25">
      <c r="A13" s="41" t="s">
        <v>36</v>
      </c>
      <c r="B13" s="13" t="s">
        <v>159</v>
      </c>
      <c r="C13" s="52">
        <v>40</v>
      </c>
      <c r="D13" s="37">
        <f>438/1000*45</f>
        <v>19.71</v>
      </c>
      <c r="E13" s="17">
        <v>1.82</v>
      </c>
      <c r="F13" s="17">
        <v>0.4</v>
      </c>
      <c r="G13" s="17">
        <v>1.64</v>
      </c>
      <c r="H13" s="17">
        <v>17.5</v>
      </c>
      <c r="I13" s="214"/>
      <c r="J13" s="214"/>
      <c r="K13" s="180">
        <f>206.55/1000*45</f>
        <v>9.2947500000000005</v>
      </c>
      <c r="L13" s="201">
        <f t="shared" si="0"/>
        <v>1.1205519244734932</v>
      </c>
    </row>
    <row r="14" spans="1:19" s="7" customFormat="1" ht="18" customHeight="1" x14ac:dyDescent="0.25">
      <c r="A14" s="234"/>
      <c r="B14" s="9" t="s">
        <v>20</v>
      </c>
      <c r="C14" s="45">
        <f t="shared" ref="C14:H14" si="1">SUM(C10:C13)</f>
        <v>500</v>
      </c>
      <c r="D14" s="33">
        <f t="shared" si="1"/>
        <v>53.980000000000004</v>
      </c>
      <c r="E14" s="33">
        <f t="shared" si="1"/>
        <v>15.4010061728395</v>
      </c>
      <c r="F14" s="33">
        <f t="shared" si="1"/>
        <v>22.921172839506095</v>
      </c>
      <c r="G14" s="33">
        <f t="shared" si="1"/>
        <v>67.001641975308601</v>
      </c>
      <c r="H14" s="33">
        <f t="shared" si="1"/>
        <v>469.99999999999994</v>
      </c>
      <c r="I14" s="34"/>
      <c r="J14" s="34"/>
      <c r="K14" s="181"/>
      <c r="L14" s="201"/>
      <c r="M14" s="181"/>
      <c r="N14" s="181"/>
    </row>
    <row r="15" spans="1:19" ht="18" customHeight="1" x14ac:dyDescent="0.2">
      <c r="A15" s="333" t="s">
        <v>11</v>
      </c>
      <c r="B15" s="334"/>
      <c r="C15" s="49"/>
      <c r="D15" s="34"/>
      <c r="E15" s="179"/>
      <c r="F15" s="179"/>
      <c r="G15" s="179"/>
      <c r="H15" s="179"/>
      <c r="I15" s="179"/>
      <c r="J15" s="179"/>
      <c r="L15" s="201"/>
      <c r="P15" s="237"/>
      <c r="Q15" s="237"/>
      <c r="R15" s="237"/>
      <c r="S15" s="237"/>
    </row>
    <row r="16" spans="1:19" ht="18" customHeight="1" x14ac:dyDescent="0.25">
      <c r="A16" s="41">
        <v>55</v>
      </c>
      <c r="B16" s="18" t="s">
        <v>191</v>
      </c>
      <c r="C16" s="58">
        <v>230</v>
      </c>
      <c r="D16" s="35">
        <v>19.77</v>
      </c>
      <c r="E16" s="12">
        <v>8.25</v>
      </c>
      <c r="F16" s="12">
        <v>9.6999999999999993</v>
      </c>
      <c r="G16" s="12">
        <v>31.8</v>
      </c>
      <c r="H16" s="12">
        <v>247.5</v>
      </c>
      <c r="I16" s="215"/>
      <c r="J16" s="215"/>
      <c r="K16" s="180">
        <v>5.94</v>
      </c>
      <c r="L16" s="201">
        <f t="shared" si="0"/>
        <v>2.3282828282828278</v>
      </c>
    </row>
    <row r="17" spans="1:19" ht="18" customHeight="1" x14ac:dyDescent="0.25">
      <c r="A17" s="41">
        <v>136</v>
      </c>
      <c r="B17" s="23" t="s">
        <v>153</v>
      </c>
      <c r="C17" s="52">
        <v>90</v>
      </c>
      <c r="D17" s="37">
        <v>42.97</v>
      </c>
      <c r="E17" s="19">
        <v>5.64</v>
      </c>
      <c r="F17" s="19">
        <v>5.9500000000000011</v>
      </c>
      <c r="G17" s="19">
        <v>13.9</v>
      </c>
      <c r="H17" s="19">
        <v>131.71</v>
      </c>
      <c r="I17" s="213"/>
      <c r="J17" s="213"/>
      <c r="K17" s="180">
        <v>14.89</v>
      </c>
      <c r="L17" s="201">
        <f t="shared" si="0"/>
        <v>1.8858294157152451</v>
      </c>
    </row>
    <row r="18" spans="1:19" ht="18" customHeight="1" x14ac:dyDescent="0.25">
      <c r="A18" s="41">
        <v>227</v>
      </c>
      <c r="B18" s="25" t="s">
        <v>58</v>
      </c>
      <c r="C18" s="27">
        <v>150</v>
      </c>
      <c r="D18" s="19">
        <v>19.25</v>
      </c>
      <c r="E18" s="28">
        <v>7.1253333333333337</v>
      </c>
      <c r="F18" s="28">
        <v>7.69</v>
      </c>
      <c r="G18" s="28">
        <v>24.578000000000003</v>
      </c>
      <c r="H18" s="28">
        <v>193.35000000000002</v>
      </c>
      <c r="I18" s="216"/>
      <c r="J18" s="216"/>
      <c r="K18" s="180">
        <v>3.96</v>
      </c>
      <c r="L18" s="201">
        <f t="shared" si="0"/>
        <v>3.8611111111111107</v>
      </c>
    </row>
    <row r="19" spans="1:19" ht="18" customHeight="1" x14ac:dyDescent="0.25">
      <c r="A19" s="41">
        <v>300</v>
      </c>
      <c r="B19" s="176" t="s">
        <v>220</v>
      </c>
      <c r="C19" s="46">
        <v>200</v>
      </c>
      <c r="D19" s="19">
        <f>13.59-1.48</f>
        <v>12.11</v>
      </c>
      <c r="E19" s="4">
        <v>0.1</v>
      </c>
      <c r="F19" s="4">
        <v>0</v>
      </c>
      <c r="G19" s="4">
        <v>20.2</v>
      </c>
      <c r="H19" s="4">
        <v>81.2</v>
      </c>
      <c r="I19" s="212"/>
      <c r="J19" s="212"/>
      <c r="K19" s="180">
        <v>4.3099999999999996</v>
      </c>
      <c r="L19" s="201">
        <f t="shared" si="0"/>
        <v>1.8097447795823669</v>
      </c>
    </row>
    <row r="20" spans="1:19" ht="18" customHeight="1" x14ac:dyDescent="0.25">
      <c r="A20" s="44" t="s">
        <v>38</v>
      </c>
      <c r="B20" s="4" t="s">
        <v>5</v>
      </c>
      <c r="C20" s="46">
        <v>30</v>
      </c>
      <c r="D20" s="37">
        <v>2.92</v>
      </c>
      <c r="E20" s="2">
        <v>1.98</v>
      </c>
      <c r="F20" s="47">
        <v>0.36</v>
      </c>
      <c r="G20" s="2">
        <v>10.02</v>
      </c>
      <c r="H20" s="2">
        <v>51.24</v>
      </c>
      <c r="I20" s="217"/>
      <c r="J20" s="217"/>
      <c r="K20" s="180">
        <v>1.83</v>
      </c>
      <c r="L20" s="201">
        <f t="shared" si="0"/>
        <v>0.59562841530054644</v>
      </c>
    </row>
    <row r="21" spans="1:19" s="8" customFormat="1" ht="18" customHeight="1" x14ac:dyDescent="0.25">
      <c r="A21" s="43"/>
      <c r="B21" s="9" t="s">
        <v>20</v>
      </c>
      <c r="C21" s="45">
        <f t="shared" ref="C21:H21" si="2">SUM(C16:C20)</f>
        <v>700</v>
      </c>
      <c r="D21" s="33">
        <f>SUM(D16:D20)</f>
        <v>97.02</v>
      </c>
      <c r="E21" s="33">
        <f t="shared" si="2"/>
        <v>23.095333333333336</v>
      </c>
      <c r="F21" s="33">
        <f t="shared" si="2"/>
        <v>23.7</v>
      </c>
      <c r="G21" s="33">
        <f t="shared" si="2"/>
        <v>100.498</v>
      </c>
      <c r="H21" s="33">
        <f t="shared" si="2"/>
        <v>705.00000000000011</v>
      </c>
      <c r="I21" s="34"/>
      <c r="J21" s="34"/>
      <c r="K21" s="180"/>
      <c r="L21" s="201"/>
      <c r="M21" s="180"/>
      <c r="N21" s="180"/>
    </row>
    <row r="22" spans="1:19" s="8" customFormat="1" ht="18" customHeight="1" x14ac:dyDescent="0.25">
      <c r="A22" s="43"/>
      <c r="B22" s="3" t="s">
        <v>9</v>
      </c>
      <c r="C22" s="45"/>
      <c r="D22" s="33">
        <f>D14+D21</f>
        <v>151</v>
      </c>
      <c r="E22" s="33">
        <f>E14+E21</f>
        <v>38.496339506172838</v>
      </c>
      <c r="F22" s="33">
        <f>F14+F21</f>
        <v>46.621172839506094</v>
      </c>
      <c r="G22" s="33">
        <f>G14+G21</f>
        <v>167.49964197530861</v>
      </c>
      <c r="H22" s="33">
        <f>H14+H21</f>
        <v>1175</v>
      </c>
      <c r="I22" s="34">
        <v>176</v>
      </c>
      <c r="J22" s="34">
        <f>D22-I22</f>
        <v>-25</v>
      </c>
      <c r="K22" s="180">
        <f>151+25</f>
        <v>176</v>
      </c>
      <c r="L22" s="201">
        <f t="shared" si="0"/>
        <v>-0.14204545454545459</v>
      </c>
      <c r="M22" s="180"/>
      <c r="N22" s="180"/>
      <c r="Q22" s="239"/>
    </row>
    <row r="23" spans="1:19" ht="18" customHeight="1" x14ac:dyDescent="0.2">
      <c r="A23" s="331" t="s">
        <v>16</v>
      </c>
      <c r="B23" s="332"/>
      <c r="C23" s="231"/>
      <c r="D23" s="21"/>
      <c r="E23" s="34"/>
      <c r="F23" s="34"/>
      <c r="G23" s="34"/>
      <c r="H23" s="34"/>
      <c r="I23" s="34"/>
      <c r="J23" s="34"/>
      <c r="L23" s="201"/>
    </row>
    <row r="24" spans="1:19" ht="18" customHeight="1" x14ac:dyDescent="0.2">
      <c r="A24" s="330" t="s">
        <v>10</v>
      </c>
      <c r="B24" s="330"/>
      <c r="C24" s="232"/>
      <c r="D24" s="34"/>
      <c r="E24" s="179"/>
      <c r="F24" s="179"/>
      <c r="G24" s="179"/>
      <c r="H24" s="179"/>
      <c r="I24" s="179"/>
      <c r="J24" s="179"/>
      <c r="L24" s="201"/>
    </row>
    <row r="25" spans="1:19" s="8" customFormat="1" ht="18" customHeight="1" x14ac:dyDescent="0.25">
      <c r="A25" s="59">
        <v>110</v>
      </c>
      <c r="B25" s="1" t="s">
        <v>223</v>
      </c>
      <c r="C25" s="322">
        <v>60</v>
      </c>
      <c r="D25" s="35">
        <v>32.43</v>
      </c>
      <c r="E25" s="28">
        <f>5.8+1.22</f>
        <v>7.02</v>
      </c>
      <c r="F25" s="28">
        <f>7.81-0.47</f>
        <v>7.34</v>
      </c>
      <c r="G25" s="28">
        <f>7.73-0.63</f>
        <v>7.1000000000000005</v>
      </c>
      <c r="H25" s="28">
        <f>125.31-4.57</f>
        <v>120.74000000000001</v>
      </c>
      <c r="I25" s="218"/>
      <c r="J25" s="218"/>
      <c r="K25" s="180">
        <v>24.27</v>
      </c>
      <c r="L25" s="201">
        <f t="shared" si="0"/>
        <v>0.33621755253399255</v>
      </c>
      <c r="M25" s="180"/>
      <c r="N25" s="180"/>
    </row>
    <row r="26" spans="1:19" s="8" customFormat="1" ht="18" customHeight="1" x14ac:dyDescent="0.25">
      <c r="A26" s="41" t="s">
        <v>170</v>
      </c>
      <c r="B26" s="29" t="s">
        <v>171</v>
      </c>
      <c r="C26" s="57">
        <v>180</v>
      </c>
      <c r="D26" s="35">
        <f>16.34-1.77</f>
        <v>14.57</v>
      </c>
      <c r="E26" s="28">
        <v>5.910000000000001</v>
      </c>
      <c r="F26" s="28">
        <v>8.16</v>
      </c>
      <c r="G26" s="28">
        <v>25.21</v>
      </c>
      <c r="H26" s="28">
        <v>197.92</v>
      </c>
      <c r="I26" s="218"/>
      <c r="J26" s="218"/>
      <c r="K26" s="180"/>
      <c r="L26" s="201"/>
      <c r="M26" s="180"/>
      <c r="N26" s="180"/>
    </row>
    <row r="27" spans="1:19" ht="18" customHeight="1" x14ac:dyDescent="0.25">
      <c r="A27" s="41">
        <v>300</v>
      </c>
      <c r="B27" s="23" t="s">
        <v>26</v>
      </c>
      <c r="C27" s="46">
        <v>200</v>
      </c>
      <c r="D27" s="19">
        <v>4.03</v>
      </c>
      <c r="E27" s="4">
        <v>0.1</v>
      </c>
      <c r="F27" s="4">
        <v>0</v>
      </c>
      <c r="G27" s="4">
        <v>20.2</v>
      </c>
      <c r="H27" s="4">
        <v>81.2</v>
      </c>
      <c r="I27" s="212"/>
      <c r="J27" s="212"/>
      <c r="K27" s="180">
        <v>2.65</v>
      </c>
      <c r="L27" s="201">
        <f t="shared" si="0"/>
        <v>0.52075471698113218</v>
      </c>
    </row>
    <row r="28" spans="1:19" ht="18" customHeight="1" x14ac:dyDescent="0.25">
      <c r="A28" s="104" t="s">
        <v>37</v>
      </c>
      <c r="B28" s="4" t="s">
        <v>0</v>
      </c>
      <c r="C28" s="46">
        <v>60</v>
      </c>
      <c r="D28" s="19">
        <v>10.86</v>
      </c>
      <c r="E28" s="4">
        <v>2.37</v>
      </c>
      <c r="F28" s="4">
        <v>0.3</v>
      </c>
      <c r="G28" s="4">
        <v>14.49</v>
      </c>
      <c r="H28" s="4">
        <v>70.14</v>
      </c>
      <c r="I28" s="212"/>
      <c r="J28" s="212"/>
      <c r="K28" s="180">
        <v>6.52</v>
      </c>
      <c r="L28" s="201">
        <f t="shared" si="0"/>
        <v>0.66564417177914104</v>
      </c>
    </row>
    <row r="29" spans="1:19" ht="18" customHeight="1" x14ac:dyDescent="0.25">
      <c r="A29" s="43"/>
      <c r="B29" s="9" t="s">
        <v>20</v>
      </c>
      <c r="C29" s="45">
        <f t="shared" ref="C29:H29" si="3">SUM(C25:C28)</f>
        <v>500</v>
      </c>
      <c r="D29" s="33">
        <f t="shared" si="3"/>
        <v>61.89</v>
      </c>
      <c r="E29" s="33">
        <f t="shared" si="3"/>
        <v>15.399999999999999</v>
      </c>
      <c r="F29" s="33">
        <f t="shared" si="3"/>
        <v>15.8</v>
      </c>
      <c r="G29" s="33">
        <f t="shared" si="3"/>
        <v>67</v>
      </c>
      <c r="H29" s="33">
        <f t="shared" si="3"/>
        <v>469.99999999999994</v>
      </c>
      <c r="I29" s="34"/>
      <c r="J29" s="34"/>
      <c r="L29" s="201"/>
    </row>
    <row r="30" spans="1:19" ht="18" customHeight="1" x14ac:dyDescent="0.2">
      <c r="A30" s="334" t="s">
        <v>11</v>
      </c>
      <c r="B30" s="334"/>
      <c r="C30" s="233"/>
      <c r="D30" s="34"/>
      <c r="E30" s="179"/>
      <c r="F30" s="179"/>
      <c r="G30" s="179"/>
      <c r="H30" s="179"/>
      <c r="I30" s="179"/>
      <c r="J30" s="179"/>
      <c r="L30" s="201"/>
      <c r="P30" s="237"/>
      <c r="Q30" s="237"/>
      <c r="R30" s="237"/>
      <c r="S30" s="237"/>
    </row>
    <row r="31" spans="1:19" ht="18" customHeight="1" x14ac:dyDescent="0.25">
      <c r="A31" s="41">
        <v>62</v>
      </c>
      <c r="B31" s="1" t="s">
        <v>160</v>
      </c>
      <c r="C31" s="322">
        <v>250</v>
      </c>
      <c r="D31" s="19">
        <f>19.17+1.85+7.65</f>
        <v>28.67</v>
      </c>
      <c r="E31" s="14">
        <f>7.03+0.07</f>
        <v>7.1000000000000005</v>
      </c>
      <c r="F31" s="14">
        <f>9.23+0.69</f>
        <v>9.92</v>
      </c>
      <c r="G31" s="14">
        <f>30.8-8.86</f>
        <v>21.94</v>
      </c>
      <c r="H31" s="4">
        <f>231.72-29.97</f>
        <v>201.75</v>
      </c>
      <c r="I31" s="212"/>
      <c r="J31" s="212"/>
      <c r="K31" s="180">
        <v>10.52</v>
      </c>
      <c r="L31" s="201">
        <f t="shared" si="0"/>
        <v>1.7252851711026618</v>
      </c>
    </row>
    <row r="32" spans="1:19" ht="18" customHeight="1" x14ac:dyDescent="0.25">
      <c r="A32" s="100">
        <v>107</v>
      </c>
      <c r="B32" s="1" t="s">
        <v>81</v>
      </c>
      <c r="C32" s="322">
        <v>100</v>
      </c>
      <c r="D32" s="19">
        <v>36.629999999999995</v>
      </c>
      <c r="E32" s="14">
        <v>7.39</v>
      </c>
      <c r="F32" s="14">
        <v>7.5499999999999989</v>
      </c>
      <c r="G32" s="14">
        <v>18</v>
      </c>
      <c r="H32" s="14">
        <v>170.01</v>
      </c>
      <c r="I32" s="219"/>
      <c r="J32" s="219"/>
      <c r="K32" s="180">
        <v>22.33</v>
      </c>
      <c r="L32" s="201">
        <f t="shared" si="0"/>
        <v>0.64039408866995062</v>
      </c>
    </row>
    <row r="33" spans="1:25" ht="18" customHeight="1" x14ac:dyDescent="0.25">
      <c r="A33" s="41">
        <v>227</v>
      </c>
      <c r="B33" s="29" t="s">
        <v>34</v>
      </c>
      <c r="C33" s="57">
        <v>150</v>
      </c>
      <c r="D33" s="35">
        <v>16.86</v>
      </c>
      <c r="E33" s="28">
        <v>6.6666666666666696</v>
      </c>
      <c r="F33" s="28">
        <v>5.8666666666666671</v>
      </c>
      <c r="G33" s="28">
        <v>30.3333333333333</v>
      </c>
      <c r="H33" s="28">
        <v>200.8</v>
      </c>
      <c r="I33" s="216"/>
      <c r="J33" s="216"/>
      <c r="K33" s="180">
        <v>7.86</v>
      </c>
      <c r="L33" s="201">
        <f t="shared" si="0"/>
        <v>1.1450381679389312</v>
      </c>
    </row>
    <row r="34" spans="1:25" s="8" customFormat="1" ht="18" customHeight="1" x14ac:dyDescent="0.25">
      <c r="A34" s="41">
        <v>300</v>
      </c>
      <c r="B34" s="23" t="s">
        <v>26</v>
      </c>
      <c r="C34" s="51">
        <v>200</v>
      </c>
      <c r="D34" s="19">
        <v>4.03</v>
      </c>
      <c r="E34" s="4">
        <v>0.1</v>
      </c>
      <c r="F34" s="4">
        <v>0</v>
      </c>
      <c r="G34" s="4">
        <v>20.2</v>
      </c>
      <c r="H34" s="4">
        <v>81.2</v>
      </c>
      <c r="I34" s="212"/>
      <c r="J34" s="212"/>
      <c r="K34" s="180">
        <v>2.65</v>
      </c>
      <c r="L34" s="201">
        <f t="shared" si="0"/>
        <v>0.52075471698113218</v>
      </c>
      <c r="M34" s="180"/>
      <c r="N34" s="180"/>
    </row>
    <row r="35" spans="1:25" s="8" customFormat="1" ht="18" customHeight="1" x14ac:dyDescent="0.25">
      <c r="A35" s="44" t="s">
        <v>38</v>
      </c>
      <c r="B35" s="4" t="s">
        <v>5</v>
      </c>
      <c r="C35" s="46">
        <v>30</v>
      </c>
      <c r="D35" s="37">
        <v>2.92</v>
      </c>
      <c r="E35" s="2">
        <v>1.98</v>
      </c>
      <c r="F35" s="47">
        <v>0.36</v>
      </c>
      <c r="G35" s="2">
        <v>10.02</v>
      </c>
      <c r="H35" s="2">
        <v>51.24</v>
      </c>
      <c r="I35" s="217"/>
      <c r="J35" s="217"/>
      <c r="K35" s="180">
        <v>1.83</v>
      </c>
      <c r="L35" s="201">
        <f t="shared" si="0"/>
        <v>0.59562841530054644</v>
      </c>
      <c r="M35" s="180"/>
      <c r="N35" s="180"/>
    </row>
    <row r="36" spans="1:25" ht="30" customHeight="1" x14ac:dyDescent="0.25">
      <c r="A36" s="43"/>
      <c r="B36" s="9" t="s">
        <v>20</v>
      </c>
      <c r="C36" s="45">
        <f t="shared" ref="C36:H36" si="4">SUM(C31:C35)</f>
        <v>730</v>
      </c>
      <c r="D36" s="33">
        <f>SUM(D31:D35)</f>
        <v>89.11</v>
      </c>
      <c r="E36" s="33">
        <f t="shared" si="4"/>
        <v>23.236666666666672</v>
      </c>
      <c r="F36" s="33">
        <f t="shared" si="4"/>
        <v>23.696666666666665</v>
      </c>
      <c r="G36" s="33">
        <f t="shared" si="4"/>
        <v>100.4933333333333</v>
      </c>
      <c r="H36" s="33">
        <f t="shared" si="4"/>
        <v>705</v>
      </c>
      <c r="I36" s="34"/>
      <c r="J36" s="34"/>
    </row>
    <row r="37" spans="1:25" ht="15.75" customHeight="1" x14ac:dyDescent="0.25">
      <c r="A37" s="43"/>
      <c r="B37" s="3" t="s">
        <v>9</v>
      </c>
      <c r="C37" s="45"/>
      <c r="D37" s="33">
        <f>D29+D36</f>
        <v>151</v>
      </c>
      <c r="E37" s="33">
        <f>E29+E36</f>
        <v>38.63666666666667</v>
      </c>
      <c r="F37" s="33">
        <f>F29+F36</f>
        <v>39.49666666666667</v>
      </c>
      <c r="G37" s="33">
        <f>G29+G36</f>
        <v>167.49333333333328</v>
      </c>
      <c r="H37" s="33">
        <f>H29+H36</f>
        <v>1175</v>
      </c>
      <c r="I37" s="34">
        <v>176</v>
      </c>
      <c r="J37" s="34">
        <f>D37-I37</f>
        <v>-25</v>
      </c>
      <c r="Q37" s="237"/>
      <c r="Y37" s="237"/>
    </row>
    <row r="38" spans="1:25" ht="15.75" x14ac:dyDescent="0.2">
      <c r="A38" s="332" t="s">
        <v>17</v>
      </c>
      <c r="B38" s="332"/>
      <c r="C38" s="231"/>
      <c r="D38" s="21"/>
      <c r="E38" s="34"/>
      <c r="F38" s="34"/>
      <c r="G38" s="34"/>
      <c r="H38" s="34"/>
      <c r="I38" s="34"/>
      <c r="J38" s="34"/>
    </row>
    <row r="39" spans="1:25" ht="18" customHeight="1" x14ac:dyDescent="0.2">
      <c r="A39" s="330" t="s">
        <v>12</v>
      </c>
      <c r="B39" s="330"/>
      <c r="C39" s="232"/>
      <c r="D39" s="34"/>
      <c r="E39" s="179"/>
      <c r="F39" s="179"/>
      <c r="G39" s="179"/>
      <c r="H39" s="179"/>
      <c r="I39" s="179"/>
      <c r="J39" s="179"/>
    </row>
    <row r="40" spans="1:25" ht="18" customHeight="1" x14ac:dyDescent="0.25">
      <c r="A40" s="41">
        <v>208</v>
      </c>
      <c r="B40" s="4" t="s">
        <v>130</v>
      </c>
      <c r="C40" s="46">
        <v>140</v>
      </c>
      <c r="D40" s="37">
        <f>39.68+0.04</f>
        <v>39.72</v>
      </c>
      <c r="E40" s="15">
        <f>8.27160493827161+2.8-1.96</f>
        <v>9.1116049382716078</v>
      </c>
      <c r="F40" s="15">
        <f>12.7449382716049+2.36+6.45</f>
        <v>21.5549382716049</v>
      </c>
      <c r="G40" s="15">
        <f>40.2469135802469-12.01+12.98</f>
        <v>41.216913580246896</v>
      </c>
      <c r="H40" s="15">
        <f>308.777777777778-18.78+39.29</f>
        <v>329.28777777777799</v>
      </c>
      <c r="I40" s="211"/>
      <c r="J40" s="211"/>
      <c r="K40" s="180">
        <v>15.99</v>
      </c>
      <c r="L40" s="201">
        <f t="shared" ref="L40:L42" si="5">D40/K40-1</f>
        <v>1.4840525328330205</v>
      </c>
    </row>
    <row r="41" spans="1:25" ht="18" customHeight="1" x14ac:dyDescent="0.25">
      <c r="A41" s="41">
        <v>300</v>
      </c>
      <c r="B41" s="23" t="s">
        <v>26</v>
      </c>
      <c r="C41" s="51">
        <v>200</v>
      </c>
      <c r="D41" s="19">
        <v>4.03</v>
      </c>
      <c r="E41" s="4">
        <v>0.1</v>
      </c>
      <c r="F41" s="4">
        <v>0</v>
      </c>
      <c r="G41" s="4">
        <v>20.2</v>
      </c>
      <c r="H41" s="4">
        <v>81.2</v>
      </c>
      <c r="I41" s="212"/>
      <c r="J41" s="212"/>
      <c r="K41" s="180">
        <v>2.65</v>
      </c>
      <c r="L41" s="201">
        <f t="shared" si="5"/>
        <v>0.52075471698113218</v>
      </c>
    </row>
    <row r="42" spans="1:25" ht="18" customHeight="1" x14ac:dyDescent="0.25">
      <c r="A42" s="41" t="s">
        <v>36</v>
      </c>
      <c r="B42" s="23" t="s">
        <v>118</v>
      </c>
      <c r="C42" s="51">
        <v>10</v>
      </c>
      <c r="D42" s="19">
        <v>2.87</v>
      </c>
      <c r="E42" s="19">
        <v>0.36399999999999999</v>
      </c>
      <c r="F42" s="19">
        <v>0.08</v>
      </c>
      <c r="G42" s="19">
        <v>0.32799999999999996</v>
      </c>
      <c r="H42" s="19">
        <v>3.5</v>
      </c>
      <c r="I42" s="213"/>
      <c r="J42" s="213"/>
      <c r="K42" s="180">
        <v>1.79</v>
      </c>
      <c r="L42" s="201">
        <f t="shared" si="5"/>
        <v>0.6033519553072626</v>
      </c>
    </row>
    <row r="43" spans="1:25" ht="18" customHeight="1" x14ac:dyDescent="0.25">
      <c r="A43" s="41" t="s">
        <v>36</v>
      </c>
      <c r="B43" s="13" t="s">
        <v>33</v>
      </c>
      <c r="C43" s="52">
        <v>50</v>
      </c>
      <c r="D43" s="37">
        <v>10.4</v>
      </c>
      <c r="E43" s="15">
        <v>4.009500000000001</v>
      </c>
      <c r="F43" s="15">
        <v>0.89100000000000013</v>
      </c>
      <c r="G43" s="15">
        <v>3.6135000000000006</v>
      </c>
      <c r="H43" s="15">
        <v>38.510999999999996</v>
      </c>
      <c r="I43" s="213"/>
      <c r="J43" s="213"/>
      <c r="L43" s="201"/>
    </row>
    <row r="44" spans="1:25" ht="18" customHeight="1" x14ac:dyDescent="0.25">
      <c r="A44" s="41" t="s">
        <v>36</v>
      </c>
      <c r="B44" s="13" t="s">
        <v>137</v>
      </c>
      <c r="C44" s="52">
        <v>100</v>
      </c>
      <c r="D44" s="37">
        <v>19.71</v>
      </c>
      <c r="E44" s="17">
        <v>1.82</v>
      </c>
      <c r="F44" s="17">
        <v>0.4</v>
      </c>
      <c r="G44" s="17">
        <v>1.64</v>
      </c>
      <c r="H44" s="17">
        <v>17.5</v>
      </c>
      <c r="I44" s="214"/>
      <c r="J44" s="214"/>
      <c r="L44" s="201"/>
    </row>
    <row r="45" spans="1:25" ht="18" customHeight="1" x14ac:dyDescent="0.25">
      <c r="A45" s="234"/>
      <c r="B45" s="9" t="s">
        <v>20</v>
      </c>
      <c r="C45" s="45">
        <f t="shared" ref="C45:H45" si="6">SUM(C40:C44)</f>
        <v>500</v>
      </c>
      <c r="D45" s="33">
        <f t="shared" si="6"/>
        <v>76.72999999999999</v>
      </c>
      <c r="E45" s="33">
        <f t="shared" si="6"/>
        <v>15.405104938271609</v>
      </c>
      <c r="F45" s="33">
        <f t="shared" si="6"/>
        <v>22.925938271604899</v>
      </c>
      <c r="G45" s="33">
        <f t="shared" si="6"/>
        <v>66.998413580246904</v>
      </c>
      <c r="H45" s="33">
        <f t="shared" si="6"/>
        <v>469.99877777777795</v>
      </c>
      <c r="I45" s="34"/>
      <c r="J45" s="34"/>
    </row>
    <row r="46" spans="1:25" ht="18" customHeight="1" x14ac:dyDescent="0.2">
      <c r="A46" s="333" t="s">
        <v>11</v>
      </c>
      <c r="B46" s="334"/>
      <c r="C46" s="49"/>
      <c r="D46" s="34"/>
      <c r="E46" s="179"/>
      <c r="F46" s="179"/>
      <c r="G46" s="179"/>
      <c r="H46" s="179"/>
      <c r="I46" s="179"/>
      <c r="J46" s="179"/>
      <c r="K46" s="182"/>
      <c r="L46" s="182"/>
      <c r="M46" s="182"/>
      <c r="N46" s="182"/>
      <c r="P46" s="237"/>
      <c r="Q46" s="237"/>
      <c r="R46" s="237"/>
      <c r="S46" s="237"/>
    </row>
    <row r="47" spans="1:25" ht="18" customHeight="1" x14ac:dyDescent="0.25">
      <c r="A47" s="41">
        <v>55</v>
      </c>
      <c r="B47" s="13" t="s">
        <v>155</v>
      </c>
      <c r="C47" s="52">
        <v>250</v>
      </c>
      <c r="D47" s="37">
        <f>12.69+3.7</f>
        <v>16.39</v>
      </c>
      <c r="E47" s="13">
        <v>8.870000000000001</v>
      </c>
      <c r="F47" s="13">
        <v>9.4</v>
      </c>
      <c r="G47" s="13">
        <v>32.799999999999997</v>
      </c>
      <c r="H47" s="13">
        <v>251.28</v>
      </c>
      <c r="I47" s="220"/>
      <c r="J47" s="220"/>
      <c r="K47" s="180">
        <f>7.05/250*230</f>
        <v>6.4859999999999998</v>
      </c>
      <c r="L47" s="201">
        <f t="shared" ref="L47:L51" si="7">D47/K47-1</f>
        <v>1.526981190255936</v>
      </c>
    </row>
    <row r="48" spans="1:25" ht="18" customHeight="1" x14ac:dyDescent="0.25">
      <c r="A48" s="41">
        <v>158</v>
      </c>
      <c r="B48" s="23" t="s">
        <v>162</v>
      </c>
      <c r="C48" s="52">
        <v>150</v>
      </c>
      <c r="D48" s="37">
        <f>35.46+2.2</f>
        <v>37.660000000000004</v>
      </c>
      <c r="E48" s="13">
        <f>10.35-2.37</f>
        <v>7.9799999999999995</v>
      </c>
      <c r="F48" s="17">
        <f>13.6433333333333-0.31</f>
        <v>13.3333333333333</v>
      </c>
      <c r="G48" s="17">
        <f>31.78-14.49</f>
        <v>17.29</v>
      </c>
      <c r="H48" s="87">
        <f>282.28-70.14</f>
        <v>212.14</v>
      </c>
      <c r="I48" s="221"/>
      <c r="J48" s="221"/>
      <c r="K48" s="180">
        <v>21.077999999999999</v>
      </c>
      <c r="L48" s="201">
        <f t="shared" si="7"/>
        <v>0.78669703007875524</v>
      </c>
    </row>
    <row r="49" spans="1:23" s="8" customFormat="1" ht="18" customHeight="1" x14ac:dyDescent="0.25">
      <c r="A49" s="44" t="s">
        <v>36</v>
      </c>
      <c r="B49" s="23" t="s">
        <v>199</v>
      </c>
      <c r="C49" s="53">
        <v>10</v>
      </c>
      <c r="D49" s="19">
        <v>4.09</v>
      </c>
      <c r="E49" s="61">
        <v>1.7999999999999998</v>
      </c>
      <c r="F49" s="61">
        <v>0.3</v>
      </c>
      <c r="G49" s="61">
        <v>5.7</v>
      </c>
      <c r="H49" s="61">
        <v>39</v>
      </c>
      <c r="I49" s="222"/>
      <c r="J49" s="222"/>
      <c r="K49" s="180">
        <v>1.86</v>
      </c>
      <c r="L49" s="201">
        <f t="shared" si="7"/>
        <v>1.1989247311827955</v>
      </c>
      <c r="M49" s="180"/>
      <c r="N49" s="180"/>
    </row>
    <row r="50" spans="1:23" s="8" customFormat="1" ht="18" customHeight="1" x14ac:dyDescent="0.25">
      <c r="A50" s="41">
        <v>300</v>
      </c>
      <c r="B50" s="23" t="s">
        <v>26</v>
      </c>
      <c r="C50" s="51">
        <v>200</v>
      </c>
      <c r="D50" s="19">
        <v>4.03</v>
      </c>
      <c r="E50" s="4">
        <v>0.1</v>
      </c>
      <c r="F50" s="4">
        <v>0</v>
      </c>
      <c r="G50" s="4">
        <v>20.2</v>
      </c>
      <c r="H50" s="4">
        <v>81.2</v>
      </c>
      <c r="I50" s="212"/>
      <c r="J50" s="212"/>
      <c r="K50" s="180">
        <v>2.65</v>
      </c>
      <c r="L50" s="201">
        <f t="shared" si="7"/>
        <v>0.52075471698113218</v>
      </c>
      <c r="M50" s="180"/>
      <c r="N50" s="180"/>
    </row>
    <row r="51" spans="1:23" ht="18" customHeight="1" x14ac:dyDescent="0.25">
      <c r="A51" s="44" t="s">
        <v>38</v>
      </c>
      <c r="B51" s="4" t="s">
        <v>5</v>
      </c>
      <c r="C51" s="46">
        <v>50</v>
      </c>
      <c r="D51" s="37">
        <v>4.8600000000000003</v>
      </c>
      <c r="E51" s="2">
        <v>1.98</v>
      </c>
      <c r="F51" s="47">
        <v>0.36</v>
      </c>
      <c r="G51" s="2">
        <v>10.02</v>
      </c>
      <c r="H51" s="2">
        <v>51.24</v>
      </c>
      <c r="I51" s="217"/>
      <c r="J51" s="217"/>
      <c r="K51" s="180">
        <f>K35/30*40</f>
        <v>2.4400000000000004</v>
      </c>
      <c r="L51" s="201">
        <f t="shared" si="7"/>
        <v>0.99180327868852447</v>
      </c>
    </row>
    <row r="52" spans="1:23" ht="18" customHeight="1" x14ac:dyDescent="0.25">
      <c r="A52" s="104" t="s">
        <v>37</v>
      </c>
      <c r="B52" s="4" t="s">
        <v>0</v>
      </c>
      <c r="C52" s="46">
        <v>40</v>
      </c>
      <c r="D52" s="19">
        <v>7.24</v>
      </c>
      <c r="E52" s="4">
        <v>2.37</v>
      </c>
      <c r="F52" s="4">
        <v>0.3</v>
      </c>
      <c r="G52" s="4">
        <v>14.49</v>
      </c>
      <c r="H52" s="4">
        <v>70.14</v>
      </c>
      <c r="I52" s="217"/>
      <c r="J52" s="217"/>
      <c r="L52" s="201"/>
    </row>
    <row r="53" spans="1:23" ht="18" customHeight="1" x14ac:dyDescent="0.25">
      <c r="A53" s="43"/>
      <c r="B53" s="9" t="s">
        <v>20</v>
      </c>
      <c r="C53" s="45">
        <f>SUM(C47:C52)</f>
        <v>700</v>
      </c>
      <c r="D53" s="83">
        <f t="shared" ref="D53:O53" si="8">SUM(D47:D52)</f>
        <v>74.27</v>
      </c>
      <c r="E53" s="83">
        <f t="shared" si="8"/>
        <v>23.100000000000005</v>
      </c>
      <c r="F53" s="83">
        <f t="shared" si="8"/>
        <v>23.6933333333333</v>
      </c>
      <c r="G53" s="83">
        <f t="shared" si="8"/>
        <v>100.49999999999999</v>
      </c>
      <c r="H53" s="83">
        <f t="shared" si="8"/>
        <v>705</v>
      </c>
      <c r="I53" s="45">
        <f t="shared" si="8"/>
        <v>0</v>
      </c>
      <c r="J53" s="45">
        <f t="shared" si="8"/>
        <v>0</v>
      </c>
      <c r="K53" s="45">
        <f t="shared" si="8"/>
        <v>34.513999999999996</v>
      </c>
      <c r="L53" s="45">
        <f t="shared" si="8"/>
        <v>5.0251609471871435</v>
      </c>
      <c r="M53" s="45">
        <f t="shared" si="8"/>
        <v>0</v>
      </c>
      <c r="N53" s="45">
        <f t="shared" si="8"/>
        <v>0</v>
      </c>
      <c r="O53" s="45">
        <f t="shared" si="8"/>
        <v>0</v>
      </c>
    </row>
    <row r="54" spans="1:23" ht="18" customHeight="1" x14ac:dyDescent="0.25">
      <c r="A54" s="43"/>
      <c r="B54" s="3" t="s">
        <v>9</v>
      </c>
      <c r="C54" s="45"/>
      <c r="D54" s="33">
        <f>D45+D53</f>
        <v>151</v>
      </c>
      <c r="E54" s="65">
        <f>E45+E53</f>
        <v>38.505104938271614</v>
      </c>
      <c r="F54" s="65">
        <f>F45+F53</f>
        <v>46.619271604938199</v>
      </c>
      <c r="G54" s="65">
        <f>G45+G53</f>
        <v>167.4984135802469</v>
      </c>
      <c r="H54" s="65">
        <f>H45+H53</f>
        <v>1174.9987777777778</v>
      </c>
      <c r="I54" s="223">
        <v>176</v>
      </c>
      <c r="J54" s="227">
        <f>D54-I54</f>
        <v>-25</v>
      </c>
      <c r="Q54" s="237"/>
    </row>
    <row r="55" spans="1:23" ht="18" customHeight="1" x14ac:dyDescent="0.2">
      <c r="A55" s="331" t="s">
        <v>18</v>
      </c>
      <c r="B55" s="332"/>
      <c r="C55" s="231"/>
      <c r="D55" s="21"/>
      <c r="E55" s="34"/>
      <c r="F55" s="34"/>
      <c r="G55" s="34"/>
      <c r="H55" s="34"/>
      <c r="I55" s="34"/>
      <c r="J55" s="34"/>
      <c r="P55" s="237"/>
      <c r="Q55" s="237"/>
      <c r="R55" s="237"/>
      <c r="S55" s="237"/>
    </row>
    <row r="56" spans="1:23" ht="18" customHeight="1" x14ac:dyDescent="0.2">
      <c r="A56" s="330" t="s">
        <v>12</v>
      </c>
      <c r="B56" s="330"/>
      <c r="C56" s="232"/>
      <c r="D56" s="34"/>
      <c r="E56" s="10"/>
      <c r="F56" s="10"/>
      <c r="G56" s="10"/>
      <c r="H56" s="10"/>
      <c r="I56" s="10"/>
      <c r="J56" s="10"/>
    </row>
    <row r="57" spans="1:23" ht="18" customHeight="1" x14ac:dyDescent="0.25">
      <c r="A57" s="41">
        <v>234</v>
      </c>
      <c r="B57" s="2" t="s">
        <v>23</v>
      </c>
      <c r="C57" s="51">
        <v>100</v>
      </c>
      <c r="D57" s="19">
        <f>50.55-6.99</f>
        <v>43.559999999999995</v>
      </c>
      <c r="E57" s="28">
        <v>4.22</v>
      </c>
      <c r="F57" s="28">
        <v>12.93</v>
      </c>
      <c r="G57" s="28">
        <v>8</v>
      </c>
      <c r="H57" s="28">
        <v>152.32</v>
      </c>
      <c r="I57" s="216"/>
      <c r="J57" s="216"/>
      <c r="K57" s="180">
        <v>25.48</v>
      </c>
      <c r="L57" s="201">
        <f t="shared" ref="L57:L61" si="9">D57/K57-1</f>
        <v>0.70957613814756648</v>
      </c>
      <c r="P57" s="41"/>
      <c r="Q57" s="2"/>
      <c r="R57" s="51"/>
      <c r="S57" s="19"/>
      <c r="T57" s="28"/>
      <c r="U57" s="28"/>
      <c r="V57" s="28"/>
      <c r="W57" s="28"/>
    </row>
    <row r="58" spans="1:23" ht="18" customHeight="1" x14ac:dyDescent="0.25">
      <c r="A58" s="41">
        <v>300</v>
      </c>
      <c r="B58" s="23" t="s">
        <v>26</v>
      </c>
      <c r="C58" s="51">
        <v>200</v>
      </c>
      <c r="D58" s="19">
        <v>4.03</v>
      </c>
      <c r="E58" s="4">
        <v>0.1</v>
      </c>
      <c r="F58" s="4">
        <v>0</v>
      </c>
      <c r="G58" s="4">
        <v>20.2</v>
      </c>
      <c r="H58" s="4">
        <v>81.2</v>
      </c>
      <c r="I58" s="212"/>
      <c r="J58" s="212"/>
      <c r="K58" s="180">
        <v>2.65</v>
      </c>
      <c r="L58" s="201">
        <f t="shared" si="9"/>
        <v>0.52075471698113218</v>
      </c>
      <c r="P58" s="41"/>
      <c r="Q58" s="23"/>
      <c r="R58" s="51"/>
      <c r="S58" s="19"/>
      <c r="T58" s="4"/>
      <c r="U58" s="4"/>
      <c r="V58" s="4"/>
      <c r="W58" s="4"/>
    </row>
    <row r="59" spans="1:23" s="8" customFormat="1" ht="18" customHeight="1" x14ac:dyDescent="0.25">
      <c r="A59" s="41" t="s">
        <v>36</v>
      </c>
      <c r="B59" s="23" t="s">
        <v>118</v>
      </c>
      <c r="C59" s="51">
        <v>10</v>
      </c>
      <c r="D59" s="19">
        <v>2.87</v>
      </c>
      <c r="E59" s="19">
        <v>0.36399999999999999</v>
      </c>
      <c r="F59" s="19">
        <v>0.08</v>
      </c>
      <c r="G59" s="19">
        <v>0.32799999999999996</v>
      </c>
      <c r="H59" s="19">
        <v>3.5</v>
      </c>
      <c r="I59" s="213"/>
      <c r="J59" s="213"/>
      <c r="K59" s="180">
        <v>1.79</v>
      </c>
      <c r="L59" s="201">
        <f t="shared" si="9"/>
        <v>0.6033519553072626</v>
      </c>
      <c r="M59" s="180"/>
      <c r="N59" s="180"/>
      <c r="P59" s="41"/>
      <c r="Q59" s="23"/>
      <c r="R59" s="51"/>
      <c r="S59" s="19"/>
      <c r="T59" s="19"/>
      <c r="U59" s="19"/>
      <c r="V59" s="19"/>
      <c r="W59" s="19"/>
    </row>
    <row r="60" spans="1:23" ht="18" customHeight="1" x14ac:dyDescent="0.25">
      <c r="A60" s="41" t="s">
        <v>36</v>
      </c>
      <c r="B60" s="13" t="s">
        <v>201</v>
      </c>
      <c r="C60" s="52">
        <v>150</v>
      </c>
      <c r="D60" s="37">
        <v>19.71</v>
      </c>
      <c r="E60" s="17">
        <f>1.82+6.53</f>
        <v>8.35</v>
      </c>
      <c r="F60" s="17">
        <f>0.4+9.21</f>
        <v>9.6100000000000012</v>
      </c>
      <c r="G60" s="17">
        <f>1.64+22.34</f>
        <v>23.98</v>
      </c>
      <c r="H60" s="17">
        <f>17.5+145.34</f>
        <v>162.84</v>
      </c>
      <c r="I60" s="212"/>
      <c r="J60" s="212"/>
      <c r="K60" s="180">
        <f>K28/100*75</f>
        <v>4.8899999999999997</v>
      </c>
      <c r="L60" s="201">
        <f t="shared" si="9"/>
        <v>3.0306748466257671</v>
      </c>
      <c r="P60" s="41"/>
      <c r="Q60" s="13"/>
      <c r="R60" s="240"/>
      <c r="S60" s="37"/>
      <c r="T60" s="17"/>
      <c r="U60" s="17"/>
      <c r="V60" s="17"/>
      <c r="W60" s="17"/>
    </row>
    <row r="61" spans="1:23" ht="18" customHeight="1" x14ac:dyDescent="0.25">
      <c r="A61" s="104" t="s">
        <v>37</v>
      </c>
      <c r="B61" s="4" t="s">
        <v>0</v>
      </c>
      <c r="C61" s="46">
        <v>40</v>
      </c>
      <c r="D61" s="19">
        <v>7.24</v>
      </c>
      <c r="E61" s="4">
        <v>2.37</v>
      </c>
      <c r="F61" s="4">
        <v>0.3</v>
      </c>
      <c r="G61" s="4">
        <v>14.49</v>
      </c>
      <c r="H61" s="4">
        <v>70.14</v>
      </c>
      <c r="I61" s="212"/>
      <c r="J61" s="212"/>
      <c r="K61" s="180">
        <v>4.4000000000000004</v>
      </c>
      <c r="L61" s="201">
        <f t="shared" si="9"/>
        <v>0.64545454545454528</v>
      </c>
      <c r="P61" s="104"/>
      <c r="Q61" s="4"/>
      <c r="R61" s="46"/>
      <c r="S61" s="19"/>
      <c r="T61" s="4"/>
      <c r="U61" s="4"/>
      <c r="V61" s="4"/>
      <c r="W61" s="4"/>
    </row>
    <row r="62" spans="1:23" ht="15.75" x14ac:dyDescent="0.25">
      <c r="A62" s="43"/>
      <c r="B62" s="9" t="s">
        <v>20</v>
      </c>
      <c r="C62" s="45">
        <f t="shared" ref="C62:H62" si="10">SUM(C57:C61)</f>
        <v>500</v>
      </c>
      <c r="D62" s="33">
        <f t="shared" si="10"/>
        <v>77.409999999999982</v>
      </c>
      <c r="E62" s="33">
        <f t="shared" si="10"/>
        <v>15.404</v>
      </c>
      <c r="F62" s="33">
        <f t="shared" si="10"/>
        <v>22.92</v>
      </c>
      <c r="G62" s="33">
        <f t="shared" si="10"/>
        <v>66.99799999999999</v>
      </c>
      <c r="H62" s="33">
        <f t="shared" si="10"/>
        <v>470</v>
      </c>
      <c r="I62" s="34"/>
      <c r="J62" s="34"/>
      <c r="P62" s="43"/>
      <c r="Q62" s="9"/>
      <c r="R62" s="45"/>
      <c r="S62" s="33"/>
      <c r="T62" s="33"/>
      <c r="U62" s="33"/>
      <c r="V62" s="33"/>
      <c r="W62" s="33"/>
    </row>
    <row r="63" spans="1:23" ht="15.75" x14ac:dyDescent="0.2">
      <c r="A63" s="333" t="s">
        <v>11</v>
      </c>
      <c r="B63" s="334"/>
      <c r="C63" s="49"/>
      <c r="D63" s="34"/>
      <c r="E63" s="179"/>
      <c r="F63" s="179"/>
      <c r="G63" s="179"/>
      <c r="H63" s="179"/>
      <c r="I63" s="179"/>
      <c r="J63" s="179"/>
      <c r="P63" s="237"/>
      <c r="Q63" s="237"/>
      <c r="R63" s="237"/>
      <c r="S63" s="237"/>
    </row>
    <row r="64" spans="1:23" ht="15.75" x14ac:dyDescent="0.25">
      <c r="A64" s="59">
        <v>65</v>
      </c>
      <c r="B64" s="18" t="s">
        <v>30</v>
      </c>
      <c r="C64" s="51">
        <v>250</v>
      </c>
      <c r="D64" s="37">
        <f>17.59/200*220</f>
        <v>19.349</v>
      </c>
      <c r="E64" s="184">
        <v>6.7160000000000002</v>
      </c>
      <c r="F64" s="184">
        <v>11.178000000000001</v>
      </c>
      <c r="G64" s="184">
        <v>25.576000000000001</v>
      </c>
      <c r="H64" s="12">
        <v>190.44</v>
      </c>
      <c r="I64" s="215"/>
      <c r="J64" s="215"/>
      <c r="K64" s="11">
        <f>9.74/200*220</f>
        <v>10.714</v>
      </c>
      <c r="L64" s="201">
        <f t="shared" ref="L64:L68" si="11">D64/K64-1</f>
        <v>0.80595482546201236</v>
      </c>
      <c r="P64" s="93"/>
      <c r="Q64" s="94"/>
      <c r="R64" s="241"/>
      <c r="S64" s="242"/>
    </row>
    <row r="65" spans="1:19" s="8" customFormat="1" ht="18" customHeight="1" x14ac:dyDescent="0.25">
      <c r="A65" s="41">
        <v>110</v>
      </c>
      <c r="B65" s="60" t="s">
        <v>167</v>
      </c>
      <c r="C65" s="236">
        <v>60</v>
      </c>
      <c r="D65" s="35">
        <f>27-1.24+3.7</f>
        <v>29.46</v>
      </c>
      <c r="E65" s="14">
        <v>8.8000000000000007</v>
      </c>
      <c r="F65" s="14">
        <v>6.3</v>
      </c>
      <c r="G65" s="14">
        <v>3.1</v>
      </c>
      <c r="H65" s="14">
        <v>92.68</v>
      </c>
      <c r="I65" s="219"/>
      <c r="J65" s="219"/>
      <c r="K65" s="180">
        <v>19.64</v>
      </c>
      <c r="L65" s="201">
        <f t="shared" si="11"/>
        <v>0.5</v>
      </c>
      <c r="M65" s="180">
        <f>94.94/220*150</f>
        <v>64.73181818181817</v>
      </c>
      <c r="N65" s="180"/>
      <c r="P65" s="93"/>
      <c r="Q65" s="238"/>
      <c r="R65" s="96"/>
      <c r="S65" s="213"/>
    </row>
    <row r="66" spans="1:19" s="8" customFormat="1" ht="18" customHeight="1" x14ac:dyDescent="0.25">
      <c r="A66" s="147">
        <v>227</v>
      </c>
      <c r="B66" s="29" t="s">
        <v>132</v>
      </c>
      <c r="C66" s="236">
        <v>150</v>
      </c>
      <c r="D66" s="35">
        <v>16.86</v>
      </c>
      <c r="E66" s="17">
        <v>5.5066666666666695</v>
      </c>
      <c r="F66" s="17">
        <v>5.8666666666666671</v>
      </c>
      <c r="G66" s="17">
        <v>25.3333333333333</v>
      </c>
      <c r="H66" s="17">
        <v>180.8</v>
      </c>
      <c r="I66" s="214"/>
      <c r="J66" s="214"/>
      <c r="K66" s="180">
        <v>7.86</v>
      </c>
      <c r="L66" s="201">
        <f t="shared" si="11"/>
        <v>1.1450381679389312</v>
      </c>
      <c r="M66" s="180"/>
      <c r="N66" s="180"/>
      <c r="P66" s="246"/>
      <c r="Q66" s="212"/>
      <c r="R66" s="96"/>
      <c r="S66" s="213"/>
    </row>
    <row r="67" spans="1:19" ht="18" customHeight="1" x14ac:dyDescent="0.25">
      <c r="A67" s="41">
        <v>300</v>
      </c>
      <c r="B67" s="23" t="s">
        <v>26</v>
      </c>
      <c r="C67" s="51">
        <v>200</v>
      </c>
      <c r="D67" s="19">
        <v>4.03</v>
      </c>
      <c r="E67" s="4">
        <v>0.1</v>
      </c>
      <c r="F67" s="4">
        <v>0</v>
      </c>
      <c r="G67" s="4">
        <v>20.2</v>
      </c>
      <c r="H67" s="4">
        <v>81.2</v>
      </c>
      <c r="I67" s="212"/>
      <c r="J67" s="212"/>
      <c r="K67" s="180">
        <v>4.3099999999999996</v>
      </c>
      <c r="L67" s="201">
        <f t="shared" si="11"/>
        <v>-6.4965197215777093E-2</v>
      </c>
      <c r="P67" s="93"/>
      <c r="Q67" s="244"/>
      <c r="R67" s="245"/>
      <c r="S67" s="213"/>
    </row>
    <row r="68" spans="1:19" ht="18" customHeight="1" x14ac:dyDescent="0.25">
      <c r="A68" s="44" t="s">
        <v>38</v>
      </c>
      <c r="B68" s="4" t="s">
        <v>5</v>
      </c>
      <c r="C68" s="46">
        <v>40</v>
      </c>
      <c r="D68" s="37">
        <v>3.89</v>
      </c>
      <c r="E68" s="2">
        <v>1.98</v>
      </c>
      <c r="F68" s="47">
        <v>0.36</v>
      </c>
      <c r="G68" s="2">
        <v>10.02</v>
      </c>
      <c r="H68" s="2">
        <v>51.24</v>
      </c>
      <c r="I68" s="217"/>
      <c r="J68" s="217"/>
      <c r="K68" s="180">
        <f>1.83/30*40</f>
        <v>2.4400000000000004</v>
      </c>
      <c r="L68" s="201">
        <f t="shared" si="11"/>
        <v>0.59426229508196693</v>
      </c>
      <c r="P68" s="243"/>
      <c r="Q68" s="212"/>
      <c r="R68" s="245"/>
      <c r="S68" s="242"/>
    </row>
    <row r="69" spans="1:19" ht="18" customHeight="1" x14ac:dyDescent="0.25">
      <c r="A69" s="43"/>
      <c r="B69" s="9" t="s">
        <v>20</v>
      </c>
      <c r="C69" s="45">
        <f>SUM(C64:C68)</f>
        <v>700</v>
      </c>
      <c r="D69" s="33">
        <f>SUM(D64:D68)</f>
        <v>73.588999999999999</v>
      </c>
      <c r="E69" s="33">
        <v>23.1</v>
      </c>
      <c r="F69" s="33">
        <v>23.7</v>
      </c>
      <c r="G69" s="33">
        <v>100.5</v>
      </c>
      <c r="H69" s="33">
        <v>705.00000000000011</v>
      </c>
      <c r="I69" s="34"/>
      <c r="J69" s="34"/>
      <c r="L69" s="201"/>
      <c r="P69" s="89"/>
      <c r="Q69" s="90"/>
      <c r="R69" s="91"/>
      <c r="S69" s="34"/>
    </row>
    <row r="70" spans="1:19" ht="18" customHeight="1" x14ac:dyDescent="0.25">
      <c r="A70" s="43"/>
      <c r="B70" s="3" t="s">
        <v>9</v>
      </c>
      <c r="C70" s="45"/>
      <c r="D70" s="33">
        <f>D62+D69</f>
        <v>150.99899999999997</v>
      </c>
      <c r="E70" s="33">
        <f>E62+E69</f>
        <v>38.504000000000005</v>
      </c>
      <c r="F70" s="33">
        <f>F62+F69</f>
        <v>46.620000000000005</v>
      </c>
      <c r="G70" s="33">
        <f>G62+G69</f>
        <v>167.49799999999999</v>
      </c>
      <c r="H70" s="33">
        <f>H62+H69</f>
        <v>1175</v>
      </c>
      <c r="I70" s="34">
        <v>176</v>
      </c>
      <c r="J70" s="34">
        <f>D70-I70</f>
        <v>-25.001000000000033</v>
      </c>
      <c r="L70" s="201"/>
      <c r="Q70" s="237"/>
    </row>
    <row r="71" spans="1:19" ht="18" customHeight="1" x14ac:dyDescent="0.2">
      <c r="A71" s="331" t="s">
        <v>19</v>
      </c>
      <c r="B71" s="332"/>
      <c r="C71" s="231"/>
      <c r="D71" s="21"/>
      <c r="E71" s="34"/>
      <c r="F71" s="34"/>
      <c r="G71" s="34"/>
      <c r="H71" s="34"/>
      <c r="I71" s="34"/>
      <c r="J71" s="34"/>
      <c r="L71" s="201"/>
    </row>
    <row r="72" spans="1:19" ht="18" customHeight="1" x14ac:dyDescent="0.2">
      <c r="A72" s="330" t="s">
        <v>12</v>
      </c>
      <c r="B72" s="330"/>
      <c r="C72" s="232"/>
      <c r="D72" s="34"/>
      <c r="E72" s="179"/>
      <c r="F72" s="179"/>
      <c r="G72" s="179"/>
      <c r="H72" s="179"/>
      <c r="I72" s="179"/>
      <c r="J72" s="179"/>
      <c r="L72" s="201"/>
    </row>
    <row r="73" spans="1:19" ht="18" customHeight="1" x14ac:dyDescent="0.25">
      <c r="A73" s="59">
        <v>110</v>
      </c>
      <c r="B73" s="1" t="s">
        <v>186</v>
      </c>
      <c r="C73" s="236">
        <v>90</v>
      </c>
      <c r="D73" s="35">
        <v>48.76</v>
      </c>
      <c r="E73" s="28">
        <v>5.8</v>
      </c>
      <c r="F73" s="28">
        <v>7.8100000000000005</v>
      </c>
      <c r="G73" s="28">
        <v>7.7299999999999969</v>
      </c>
      <c r="H73" s="28">
        <v>125.30999999999999</v>
      </c>
      <c r="I73" s="216"/>
      <c r="J73" s="216"/>
      <c r="K73" s="180">
        <v>20.2</v>
      </c>
      <c r="L73" s="201">
        <f t="shared" ref="L73:L91" si="12">D73/K73-1</f>
        <v>1.4138613861386138</v>
      </c>
    </row>
    <row r="74" spans="1:19" ht="18" customHeight="1" x14ac:dyDescent="0.25">
      <c r="A74" s="59">
        <v>227</v>
      </c>
      <c r="B74" s="1" t="s">
        <v>58</v>
      </c>
      <c r="C74" s="52">
        <v>150</v>
      </c>
      <c r="D74" s="19">
        <v>19.25</v>
      </c>
      <c r="E74" s="28">
        <v>7.1253333333333337</v>
      </c>
      <c r="F74" s="28">
        <v>7.69</v>
      </c>
      <c r="G74" s="28">
        <v>24.578000000000003</v>
      </c>
      <c r="H74" s="28">
        <v>193.35000000000002</v>
      </c>
      <c r="I74" s="216"/>
      <c r="J74" s="216"/>
      <c r="K74" s="180">
        <v>3.96</v>
      </c>
      <c r="L74" s="201">
        <f t="shared" si="12"/>
        <v>3.8611111111111107</v>
      </c>
    </row>
    <row r="75" spans="1:19" ht="18" customHeight="1" x14ac:dyDescent="0.25">
      <c r="A75" s="41">
        <v>300</v>
      </c>
      <c r="B75" s="23" t="s">
        <v>26</v>
      </c>
      <c r="C75" s="51">
        <v>200</v>
      </c>
      <c r="D75" s="19">
        <v>4.03</v>
      </c>
      <c r="E75" s="4">
        <v>0.1</v>
      </c>
      <c r="F75" s="4">
        <v>0</v>
      </c>
      <c r="G75" s="4">
        <v>20.2</v>
      </c>
      <c r="H75" s="4">
        <v>81.2</v>
      </c>
      <c r="I75" s="212"/>
      <c r="J75" s="212"/>
      <c r="K75" s="180">
        <v>2.65</v>
      </c>
      <c r="L75" s="201">
        <f t="shared" si="12"/>
        <v>0.52075471698113218</v>
      </c>
    </row>
    <row r="76" spans="1:19" ht="18" customHeight="1" x14ac:dyDescent="0.25">
      <c r="A76" s="104" t="s">
        <v>37</v>
      </c>
      <c r="B76" s="4" t="s">
        <v>0</v>
      </c>
      <c r="C76" s="46">
        <v>60</v>
      </c>
      <c r="D76" s="19">
        <f>D61/40*60</f>
        <v>10.86</v>
      </c>
      <c r="E76" s="4">
        <v>2.37</v>
      </c>
      <c r="F76" s="4">
        <v>0.3</v>
      </c>
      <c r="G76" s="4">
        <v>14.49</v>
      </c>
      <c r="H76" s="4">
        <v>70.14</v>
      </c>
      <c r="I76" s="212"/>
      <c r="J76" s="212"/>
      <c r="K76" s="180">
        <f>K61/40*60</f>
        <v>6.6000000000000005</v>
      </c>
      <c r="L76" s="201">
        <f t="shared" si="12"/>
        <v>0.64545454545454528</v>
      </c>
    </row>
    <row r="77" spans="1:19" ht="18" customHeight="1" x14ac:dyDescent="0.25">
      <c r="A77" s="43"/>
      <c r="B77" s="9" t="s">
        <v>20</v>
      </c>
      <c r="C77" s="45">
        <f t="shared" ref="C77:H77" si="13">SUM(C73:C76)</f>
        <v>500</v>
      </c>
      <c r="D77" s="33">
        <f>SUM(D73:D76)</f>
        <v>82.899999999999991</v>
      </c>
      <c r="E77" s="33">
        <f t="shared" si="13"/>
        <v>15.395333333333333</v>
      </c>
      <c r="F77" s="33">
        <f t="shared" si="13"/>
        <v>15.8</v>
      </c>
      <c r="G77" s="33">
        <f t="shared" si="13"/>
        <v>66.99799999999999</v>
      </c>
      <c r="H77" s="33">
        <f t="shared" si="13"/>
        <v>470</v>
      </c>
      <c r="I77" s="34"/>
      <c r="J77" s="34"/>
      <c r="L77" s="201"/>
    </row>
    <row r="78" spans="1:19" ht="18" customHeight="1" x14ac:dyDescent="0.2">
      <c r="A78" s="333" t="s">
        <v>11</v>
      </c>
      <c r="B78" s="334"/>
      <c r="C78" s="49"/>
      <c r="D78" s="34"/>
      <c r="E78" s="179"/>
      <c r="F78" s="179"/>
      <c r="G78" s="179"/>
      <c r="H78" s="179"/>
      <c r="I78" s="179"/>
      <c r="J78" s="179"/>
      <c r="L78" s="201"/>
    </row>
    <row r="79" spans="1:19" ht="18" customHeight="1" x14ac:dyDescent="0.25">
      <c r="A79" s="100">
        <v>56</v>
      </c>
      <c r="B79" s="1" t="s">
        <v>169</v>
      </c>
      <c r="C79" s="51">
        <v>250</v>
      </c>
      <c r="D79" s="37">
        <f>17.59/200*220</f>
        <v>19.349</v>
      </c>
      <c r="E79" s="184">
        <f>6.5/220*250</f>
        <v>7.3863636363636358</v>
      </c>
      <c r="F79" s="12">
        <v>9.09</v>
      </c>
      <c r="G79" s="184">
        <f>30.7/220*250</f>
        <v>34.88636363636364</v>
      </c>
      <c r="H79" s="12">
        <v>250.45</v>
      </c>
      <c r="I79" s="215"/>
      <c r="J79" s="215"/>
      <c r="K79" s="180">
        <v>9.74</v>
      </c>
      <c r="L79" s="201">
        <f t="shared" si="12"/>
        <v>0.98655030800821364</v>
      </c>
    </row>
    <row r="80" spans="1:19" s="8" customFormat="1" ht="18" customHeight="1" x14ac:dyDescent="0.25">
      <c r="A80" s="59">
        <v>158</v>
      </c>
      <c r="B80" s="86" t="s">
        <v>218</v>
      </c>
      <c r="C80" s="52">
        <v>50</v>
      </c>
      <c r="D80" s="37">
        <f>16.27+3.7+2.05+3.24</f>
        <v>25.259999999999998</v>
      </c>
      <c r="E80" s="13">
        <f>7.04+0.6+0.08</f>
        <v>7.72</v>
      </c>
      <c r="F80" s="17">
        <f>10.6633333333333-4.57</f>
        <v>6.0933333333333</v>
      </c>
      <c r="G80" s="17">
        <f>12.47+1.9-4.19</f>
        <v>10.18</v>
      </c>
      <c r="H80" s="87">
        <f>168.32+13-57.13</f>
        <v>124.19</v>
      </c>
      <c r="I80" s="221"/>
      <c r="J80" s="221"/>
      <c r="K80" s="180">
        <v>13.8</v>
      </c>
      <c r="L80" s="201">
        <f t="shared" si="12"/>
        <v>0.83043478260869552</v>
      </c>
      <c r="M80" s="180"/>
      <c r="N80" s="180"/>
    </row>
    <row r="81" spans="1:25" s="8" customFormat="1" ht="18" customHeight="1" x14ac:dyDescent="0.25">
      <c r="A81" s="41" t="s">
        <v>170</v>
      </c>
      <c r="B81" s="29" t="s">
        <v>171</v>
      </c>
      <c r="C81" s="57">
        <v>150</v>
      </c>
      <c r="D81" s="35">
        <v>13.62</v>
      </c>
      <c r="E81" s="28">
        <v>5.910000000000001</v>
      </c>
      <c r="F81" s="28">
        <v>8.16</v>
      </c>
      <c r="G81" s="28">
        <v>25.21</v>
      </c>
      <c r="H81" s="28">
        <v>197.92</v>
      </c>
      <c r="I81" s="216"/>
      <c r="J81" s="216"/>
      <c r="K81" s="180">
        <v>7.86</v>
      </c>
      <c r="L81" s="201">
        <f t="shared" si="12"/>
        <v>0.73282442748091592</v>
      </c>
      <c r="M81" s="180"/>
      <c r="N81" s="180"/>
    </row>
    <row r="82" spans="1:25" ht="18" customHeight="1" x14ac:dyDescent="0.25">
      <c r="A82" s="41">
        <v>300</v>
      </c>
      <c r="B82" s="23" t="s">
        <v>26</v>
      </c>
      <c r="C82" s="51">
        <v>200</v>
      </c>
      <c r="D82" s="19">
        <v>4.03</v>
      </c>
      <c r="E82" s="4">
        <v>0.1</v>
      </c>
      <c r="F82" s="4">
        <v>0</v>
      </c>
      <c r="G82" s="4">
        <v>20.2</v>
      </c>
      <c r="H82" s="4">
        <v>81.2</v>
      </c>
      <c r="I82" s="212"/>
      <c r="J82" s="212"/>
      <c r="K82" s="180">
        <v>4.3099999999999996</v>
      </c>
      <c r="L82" s="201">
        <f t="shared" si="12"/>
        <v>-6.4965197215777093E-2</v>
      </c>
    </row>
    <row r="83" spans="1:25" ht="18" customHeight="1" x14ac:dyDescent="0.25">
      <c r="A83" s="44" t="s">
        <v>38</v>
      </c>
      <c r="B83" s="4" t="s">
        <v>5</v>
      </c>
      <c r="C83" s="46">
        <v>60</v>
      </c>
      <c r="D83" s="37">
        <f>2.92*2</f>
        <v>5.84</v>
      </c>
      <c r="E83" s="2">
        <v>1.98</v>
      </c>
      <c r="F83" s="47">
        <v>0.36</v>
      </c>
      <c r="G83" s="2">
        <v>10.02</v>
      </c>
      <c r="H83" s="2">
        <v>51.24</v>
      </c>
      <c r="I83" s="217"/>
      <c r="J83" s="217"/>
      <c r="K83" s="180">
        <v>1.83</v>
      </c>
      <c r="L83" s="201">
        <f t="shared" si="12"/>
        <v>2.1912568306010929</v>
      </c>
    </row>
    <row r="84" spans="1:25" ht="18" customHeight="1" x14ac:dyDescent="0.25">
      <c r="A84" s="41"/>
      <c r="B84" s="9" t="s">
        <v>20</v>
      </c>
      <c r="C84" s="45">
        <f t="shared" ref="C84:O84" si="14">SUM(C79:C83)</f>
        <v>710</v>
      </c>
      <c r="D84" s="33">
        <f t="shared" si="14"/>
        <v>68.09899999999999</v>
      </c>
      <c r="E84" s="33">
        <f t="shared" si="14"/>
        <v>23.096363636363638</v>
      </c>
      <c r="F84" s="33">
        <f t="shared" si="14"/>
        <v>23.703333333333298</v>
      </c>
      <c r="G84" s="33">
        <f t="shared" si="14"/>
        <v>100.49636363636364</v>
      </c>
      <c r="H84" s="33">
        <f t="shared" si="14"/>
        <v>705</v>
      </c>
      <c r="I84" s="33">
        <f t="shared" si="14"/>
        <v>0</v>
      </c>
      <c r="J84" s="33">
        <f t="shared" si="14"/>
        <v>0</v>
      </c>
      <c r="K84" s="33">
        <f t="shared" si="14"/>
        <v>37.54</v>
      </c>
      <c r="L84" s="33">
        <f t="shared" si="14"/>
        <v>4.6761011514831408</v>
      </c>
      <c r="M84" s="33">
        <f t="shared" si="14"/>
        <v>0</v>
      </c>
      <c r="N84" s="33">
        <f t="shared" si="14"/>
        <v>0</v>
      </c>
      <c r="O84" s="33">
        <f t="shared" si="14"/>
        <v>0</v>
      </c>
    </row>
    <row r="85" spans="1:25" ht="18" customHeight="1" x14ac:dyDescent="0.25">
      <c r="A85" s="43"/>
      <c r="B85" s="3" t="s">
        <v>9</v>
      </c>
      <c r="C85" s="45"/>
      <c r="D85" s="33">
        <f>D77+D84</f>
        <v>150.99899999999997</v>
      </c>
      <c r="E85" s="33">
        <f>E77+E84</f>
        <v>38.491696969696974</v>
      </c>
      <c r="F85" s="33">
        <f>F77+F84</f>
        <v>39.503333333333302</v>
      </c>
      <c r="G85" s="33">
        <f>G77+G84</f>
        <v>167.49436363636363</v>
      </c>
      <c r="H85" s="33">
        <f>H77+H84</f>
        <v>1175</v>
      </c>
      <c r="I85" s="34">
        <v>176</v>
      </c>
      <c r="J85" s="34"/>
      <c r="L85" s="201"/>
      <c r="Q85" s="237"/>
      <c r="Y85" s="237"/>
    </row>
    <row r="86" spans="1:25" ht="18" customHeight="1" x14ac:dyDescent="0.2">
      <c r="A86" s="331" t="s">
        <v>66</v>
      </c>
      <c r="B86" s="332"/>
      <c r="C86" s="231"/>
      <c r="D86" s="21"/>
      <c r="E86" s="34"/>
      <c r="F86" s="34"/>
      <c r="G86" s="34"/>
      <c r="H86" s="34"/>
      <c r="I86" s="34"/>
      <c r="J86" s="34"/>
      <c r="L86" s="201"/>
      <c r="P86" s="237"/>
      <c r="Q86" s="237"/>
      <c r="R86" s="237"/>
      <c r="S86" s="237"/>
    </row>
    <row r="87" spans="1:25" ht="18" customHeight="1" x14ac:dyDescent="0.2">
      <c r="A87" s="330" t="s">
        <v>12</v>
      </c>
      <c r="B87" s="330"/>
      <c r="C87" s="232"/>
      <c r="D87" s="34"/>
      <c r="E87" s="179"/>
      <c r="F87" s="179"/>
      <c r="G87" s="179"/>
      <c r="H87" s="179"/>
      <c r="I87" s="179"/>
      <c r="J87" s="179"/>
      <c r="L87" s="201"/>
    </row>
    <row r="88" spans="1:25" s="8" customFormat="1" ht="15.75" x14ac:dyDescent="0.25">
      <c r="A88" s="41">
        <v>208</v>
      </c>
      <c r="B88" s="4" t="s">
        <v>195</v>
      </c>
      <c r="C88" s="46">
        <v>150</v>
      </c>
      <c r="D88" s="37">
        <v>19.88</v>
      </c>
      <c r="E88" s="15">
        <f>7.01160493827161+4.3</f>
        <v>11.311604938271611</v>
      </c>
      <c r="F88" s="15">
        <f>12.9149382716049+2.47</f>
        <v>15.3849382716049</v>
      </c>
      <c r="G88" s="15">
        <f>32.1169135802469-16.01</f>
        <v>16.1069135802469</v>
      </c>
      <c r="H88" s="15">
        <f>271.437777777778-26.38</f>
        <v>245.05777777777803</v>
      </c>
      <c r="I88" s="211"/>
      <c r="J88" s="211"/>
      <c r="K88" s="180">
        <v>9.7100000000000009</v>
      </c>
      <c r="L88" s="201">
        <f t="shared" si="12"/>
        <v>1.0473738414006175</v>
      </c>
      <c r="M88" s="180"/>
      <c r="N88" s="180"/>
    </row>
    <row r="89" spans="1:25" ht="18" customHeight="1" x14ac:dyDescent="0.25">
      <c r="A89" s="41">
        <v>300</v>
      </c>
      <c r="B89" s="23" t="s">
        <v>26</v>
      </c>
      <c r="C89" s="51">
        <v>200</v>
      </c>
      <c r="D89" s="19">
        <v>4.03</v>
      </c>
      <c r="E89" s="4">
        <v>0.1</v>
      </c>
      <c r="F89" s="4">
        <v>0</v>
      </c>
      <c r="G89" s="4">
        <v>20.2</v>
      </c>
      <c r="H89" s="4">
        <v>81.2</v>
      </c>
      <c r="I89" s="212"/>
      <c r="J89" s="212"/>
      <c r="K89" s="180">
        <v>2.65</v>
      </c>
      <c r="L89" s="201">
        <f t="shared" si="12"/>
        <v>0.52075471698113218</v>
      </c>
    </row>
    <row r="90" spans="1:25" ht="18" customHeight="1" x14ac:dyDescent="0.25">
      <c r="A90" s="41" t="s">
        <v>36</v>
      </c>
      <c r="B90" s="13" t="s">
        <v>161</v>
      </c>
      <c r="C90" s="46">
        <v>100</v>
      </c>
      <c r="D90" s="37">
        <v>40</v>
      </c>
      <c r="E90" s="4">
        <v>1.61</v>
      </c>
      <c r="F90" s="4">
        <v>0.115</v>
      </c>
      <c r="G90" s="4">
        <v>16.2</v>
      </c>
      <c r="H90" s="4">
        <v>73.599999999999994</v>
      </c>
      <c r="I90" s="212"/>
      <c r="J90" s="212"/>
      <c r="K90" s="180">
        <v>18.5</v>
      </c>
      <c r="L90" s="201">
        <f t="shared" si="12"/>
        <v>1.1621621621621623</v>
      </c>
    </row>
    <row r="91" spans="1:25" ht="18" customHeight="1" x14ac:dyDescent="0.25">
      <c r="A91" s="44" t="s">
        <v>37</v>
      </c>
      <c r="B91" s="4" t="s">
        <v>0</v>
      </c>
      <c r="C91" s="46">
        <v>50</v>
      </c>
      <c r="D91" s="19">
        <f>D61/40*50</f>
        <v>9.0499999999999989</v>
      </c>
      <c r="E91" s="4">
        <v>2.37</v>
      </c>
      <c r="F91" s="4">
        <v>0.3</v>
      </c>
      <c r="G91" s="4">
        <v>14.49</v>
      </c>
      <c r="H91" s="4">
        <v>70.14</v>
      </c>
      <c r="I91" s="212"/>
      <c r="J91" s="212"/>
      <c r="K91" s="180">
        <f>K76/60*50</f>
        <v>5.5000000000000009</v>
      </c>
      <c r="L91" s="201">
        <f t="shared" si="12"/>
        <v>0.64545454545454506</v>
      </c>
    </row>
    <row r="92" spans="1:25" ht="18" customHeight="1" x14ac:dyDescent="0.25">
      <c r="A92" s="41"/>
      <c r="B92" s="9" t="s">
        <v>20</v>
      </c>
      <c r="C92" s="45">
        <f t="shared" ref="C92:H92" si="15">SUM(C88:C91)</f>
        <v>500</v>
      </c>
      <c r="D92" s="33">
        <f>SUM(D88:D91)</f>
        <v>72.959999999999994</v>
      </c>
      <c r="E92" s="5">
        <f t="shared" si="15"/>
        <v>15.391604938271609</v>
      </c>
      <c r="F92" s="5">
        <f t="shared" si="15"/>
        <v>15.799938271604901</v>
      </c>
      <c r="G92" s="5">
        <f t="shared" si="15"/>
        <v>66.996913580246897</v>
      </c>
      <c r="H92" s="5">
        <f t="shared" si="15"/>
        <v>469.99777777777797</v>
      </c>
      <c r="I92" s="10"/>
      <c r="J92" s="10"/>
    </row>
    <row r="93" spans="1:25" ht="18" customHeight="1" x14ac:dyDescent="0.2">
      <c r="A93" s="333" t="s">
        <v>11</v>
      </c>
      <c r="B93" s="334"/>
      <c r="C93" s="233"/>
      <c r="D93" s="34"/>
      <c r="E93" s="179"/>
      <c r="F93" s="179"/>
      <c r="G93" s="179"/>
      <c r="H93" s="179"/>
      <c r="I93" s="179"/>
      <c r="J93" s="179"/>
      <c r="P93" s="314"/>
      <c r="Q93" s="314"/>
      <c r="R93" s="314"/>
      <c r="S93" s="314"/>
    </row>
    <row r="94" spans="1:25" ht="18" customHeight="1" x14ac:dyDescent="0.25">
      <c r="A94" s="41">
        <v>55</v>
      </c>
      <c r="B94" s="18" t="s">
        <v>216</v>
      </c>
      <c r="C94" s="58">
        <v>230</v>
      </c>
      <c r="D94" s="35">
        <v>19.77</v>
      </c>
      <c r="E94" s="12">
        <v>8.25</v>
      </c>
      <c r="F94" s="12">
        <v>9.6999999999999993</v>
      </c>
      <c r="G94" s="12">
        <v>31.8</v>
      </c>
      <c r="H94" s="12">
        <v>247.5</v>
      </c>
      <c r="I94" s="215"/>
      <c r="J94" s="215"/>
      <c r="K94" s="180">
        <v>5.94</v>
      </c>
      <c r="L94" s="201">
        <f t="shared" ref="L94:L121" si="16">D94/K94-1</f>
        <v>2.3282828282828278</v>
      </c>
    </row>
    <row r="95" spans="1:25" s="8" customFormat="1" ht="18" customHeight="1" x14ac:dyDescent="0.25">
      <c r="A95" s="41">
        <v>96</v>
      </c>
      <c r="B95" s="1" t="s">
        <v>202</v>
      </c>
      <c r="C95" s="51">
        <v>60</v>
      </c>
      <c r="D95" s="19">
        <f>31.75-3.91+3.7</f>
        <v>31.54</v>
      </c>
      <c r="E95" s="28">
        <f>4.78666666666667+1.32</f>
        <v>6.10666666666667</v>
      </c>
      <c r="F95" s="28">
        <f>7.5322222222222+0.24</f>
        <v>7.7722222222221999</v>
      </c>
      <c r="G95" s="28">
        <f>8.46666666666667-0.32</f>
        <v>8.1466666666666701</v>
      </c>
      <c r="H95" s="28">
        <f>118.1+6.16</f>
        <v>124.25999999999999</v>
      </c>
      <c r="I95" s="216"/>
      <c r="J95" s="216"/>
      <c r="K95" s="180">
        <v>13.21</v>
      </c>
      <c r="L95" s="201">
        <f t="shared" si="16"/>
        <v>1.3875851627554883</v>
      </c>
      <c r="M95" s="180"/>
      <c r="N95" s="180"/>
    </row>
    <row r="96" spans="1:25" s="8" customFormat="1" ht="18" customHeight="1" x14ac:dyDescent="0.25">
      <c r="A96" s="41">
        <v>227</v>
      </c>
      <c r="B96" s="29" t="s">
        <v>132</v>
      </c>
      <c r="C96" s="57">
        <v>150</v>
      </c>
      <c r="D96" s="35">
        <v>16.86</v>
      </c>
      <c r="E96" s="28">
        <v>6.6666666666666696</v>
      </c>
      <c r="F96" s="28">
        <v>5.8666666666666671</v>
      </c>
      <c r="G96" s="28">
        <v>30.3333333333333</v>
      </c>
      <c r="H96" s="28">
        <v>200.8</v>
      </c>
      <c r="I96" s="216"/>
      <c r="J96" s="216"/>
      <c r="K96" s="180">
        <v>7.86</v>
      </c>
      <c r="L96" s="201">
        <f t="shared" si="16"/>
        <v>1.1450381679389312</v>
      </c>
      <c r="M96" s="180"/>
      <c r="N96" s="180"/>
    </row>
    <row r="97" spans="1:19" ht="18" customHeight="1" x14ac:dyDescent="0.25">
      <c r="A97" s="41">
        <v>300</v>
      </c>
      <c r="B97" s="23" t="s">
        <v>26</v>
      </c>
      <c r="C97" s="51">
        <v>200</v>
      </c>
      <c r="D97" s="19">
        <v>4.03</v>
      </c>
      <c r="E97" s="4">
        <v>0.1</v>
      </c>
      <c r="F97" s="4">
        <v>0</v>
      </c>
      <c r="G97" s="4">
        <v>20.2</v>
      </c>
      <c r="H97" s="4">
        <v>81.2</v>
      </c>
      <c r="I97" s="212"/>
      <c r="J97" s="212"/>
      <c r="K97" s="180">
        <v>2.65</v>
      </c>
      <c r="L97" s="201">
        <f t="shared" si="16"/>
        <v>0.52075471698113218</v>
      </c>
    </row>
    <row r="98" spans="1:19" ht="18" customHeight="1" x14ac:dyDescent="0.25">
      <c r="A98" s="44" t="s">
        <v>38</v>
      </c>
      <c r="B98" s="4" t="s">
        <v>5</v>
      </c>
      <c r="C98" s="46">
        <v>60</v>
      </c>
      <c r="D98" s="37">
        <f>2.92*2</f>
        <v>5.84</v>
      </c>
      <c r="E98" s="2">
        <v>1.98</v>
      </c>
      <c r="F98" s="47">
        <v>0.36</v>
      </c>
      <c r="G98" s="2">
        <v>10.02</v>
      </c>
      <c r="H98" s="2">
        <v>51.24</v>
      </c>
      <c r="I98" s="217"/>
      <c r="J98" s="217"/>
      <c r="K98" s="180">
        <v>1.83</v>
      </c>
      <c r="L98" s="201">
        <f t="shared" si="16"/>
        <v>2.1912568306010929</v>
      </c>
    </row>
    <row r="99" spans="1:19" ht="18" customHeight="1" x14ac:dyDescent="0.25">
      <c r="A99" s="43"/>
      <c r="B99" s="9" t="s">
        <v>20</v>
      </c>
      <c r="C99" s="45">
        <f t="shared" ref="C99:H99" si="17">SUM(C94:C98)</f>
        <v>700</v>
      </c>
      <c r="D99" s="83">
        <f>SUM(D94:D98)</f>
        <v>78.040000000000006</v>
      </c>
      <c r="E99" s="83">
        <f t="shared" si="17"/>
        <v>23.103333333333342</v>
      </c>
      <c r="F99" s="83">
        <f t="shared" si="17"/>
        <v>23.698888888888867</v>
      </c>
      <c r="G99" s="83">
        <f t="shared" si="17"/>
        <v>100.49999999999997</v>
      </c>
      <c r="H99" s="83">
        <f t="shared" si="17"/>
        <v>705</v>
      </c>
      <c r="I99" s="224"/>
      <c r="J99" s="224"/>
      <c r="L99" s="201"/>
    </row>
    <row r="100" spans="1:19" ht="18" customHeight="1" x14ac:dyDescent="0.25">
      <c r="A100" s="43"/>
      <c r="B100" s="3" t="s">
        <v>9</v>
      </c>
      <c r="C100" s="45"/>
      <c r="D100" s="33">
        <f>D92+D99</f>
        <v>151</v>
      </c>
      <c r="E100" s="33">
        <f>E92+E99</f>
        <v>38.494938271604951</v>
      </c>
      <c r="F100" s="33">
        <f>F92+F99</f>
        <v>39.498827160493768</v>
      </c>
      <c r="G100" s="33">
        <f>G92+G99</f>
        <v>167.49691358024688</v>
      </c>
      <c r="H100" s="33">
        <f>H92+H99</f>
        <v>1174.9977777777781</v>
      </c>
      <c r="I100" s="34">
        <v>176</v>
      </c>
      <c r="J100" s="34">
        <f>I100-D100</f>
        <v>25</v>
      </c>
      <c r="L100" s="201"/>
      <c r="Q100" s="237"/>
    </row>
    <row r="101" spans="1:19" ht="18" customHeight="1" x14ac:dyDescent="0.2">
      <c r="A101" s="331" t="s">
        <v>49</v>
      </c>
      <c r="B101" s="332"/>
      <c r="C101" s="231"/>
      <c r="D101" s="21"/>
      <c r="E101" s="34"/>
      <c r="F101" s="34"/>
      <c r="G101" s="34"/>
      <c r="H101" s="34"/>
      <c r="I101" s="34"/>
      <c r="J101" s="34"/>
      <c r="L101" s="201"/>
      <c r="P101" s="237"/>
      <c r="Q101" s="237"/>
      <c r="R101" s="237"/>
      <c r="S101" s="237"/>
    </row>
    <row r="102" spans="1:19" ht="18" customHeight="1" x14ac:dyDescent="0.2">
      <c r="A102" s="330" t="s">
        <v>10</v>
      </c>
      <c r="B102" s="330"/>
      <c r="C102" s="232"/>
      <c r="D102" s="34"/>
      <c r="E102" s="179"/>
      <c r="F102" s="179"/>
      <c r="G102" s="179"/>
      <c r="H102" s="179"/>
      <c r="I102" s="179"/>
      <c r="J102" s="179"/>
      <c r="L102" s="201"/>
    </row>
    <row r="103" spans="1:19" ht="18" customHeight="1" x14ac:dyDescent="0.25">
      <c r="A103" s="41">
        <v>241</v>
      </c>
      <c r="B103" s="25" t="s">
        <v>206</v>
      </c>
      <c r="C103" s="46">
        <v>100</v>
      </c>
      <c r="D103" s="37">
        <v>40.5</v>
      </c>
      <c r="E103" s="78">
        <v>9.218264462809902</v>
      </c>
      <c r="F103" s="78">
        <v>13.82057851239669</v>
      </c>
      <c r="G103" s="78">
        <v>7.630991735537199</v>
      </c>
      <c r="H103" s="78">
        <v>189.902231404959</v>
      </c>
      <c r="I103" s="218"/>
      <c r="J103" s="218"/>
      <c r="K103" s="180">
        <v>23.95</v>
      </c>
      <c r="L103" s="201">
        <f t="shared" si="16"/>
        <v>0.6910229645093946</v>
      </c>
    </row>
    <row r="104" spans="1:19" ht="18" customHeight="1" x14ac:dyDescent="0.25">
      <c r="A104" s="41"/>
      <c r="B104" s="25" t="s">
        <v>205</v>
      </c>
      <c r="C104" s="46">
        <v>50</v>
      </c>
      <c r="D104" s="37">
        <v>13.82</v>
      </c>
      <c r="E104" s="78">
        <v>0.73</v>
      </c>
      <c r="F104" s="78">
        <v>0.37</v>
      </c>
      <c r="G104" s="78">
        <v>15.19</v>
      </c>
      <c r="H104" s="78">
        <v>67.09</v>
      </c>
      <c r="I104" s="218"/>
      <c r="J104" s="218"/>
      <c r="L104" s="201"/>
    </row>
    <row r="105" spans="1:19" ht="15.75" x14ac:dyDescent="0.25">
      <c r="A105" s="41">
        <v>300</v>
      </c>
      <c r="B105" s="23" t="s">
        <v>26</v>
      </c>
      <c r="C105" s="51">
        <v>200</v>
      </c>
      <c r="D105" s="19">
        <v>4.03</v>
      </c>
      <c r="E105" s="4">
        <v>0.1</v>
      </c>
      <c r="F105" s="4">
        <v>0</v>
      </c>
      <c r="G105" s="4">
        <v>20.2</v>
      </c>
      <c r="H105" s="4">
        <v>81.2</v>
      </c>
      <c r="I105" s="212"/>
      <c r="J105" s="212"/>
      <c r="K105" s="180">
        <v>2.65</v>
      </c>
      <c r="L105" s="201">
        <f t="shared" si="16"/>
        <v>0.52075471698113218</v>
      </c>
    </row>
    <row r="106" spans="1:19" ht="18" customHeight="1" x14ac:dyDescent="0.25">
      <c r="A106" s="41" t="s">
        <v>36</v>
      </c>
      <c r="B106" s="13" t="s">
        <v>201</v>
      </c>
      <c r="C106" s="52">
        <v>150</v>
      </c>
      <c r="D106" s="37">
        <v>19.71</v>
      </c>
      <c r="E106" s="17">
        <v>5.35</v>
      </c>
      <c r="F106" s="17">
        <v>1.61</v>
      </c>
      <c r="G106" s="17">
        <f>23.98</f>
        <v>23.98</v>
      </c>
      <c r="H106" s="17">
        <v>131.81</v>
      </c>
      <c r="I106" s="212"/>
      <c r="J106" s="212"/>
      <c r="K106" s="180">
        <v>6.52</v>
      </c>
      <c r="L106" s="201">
        <f t="shared" si="16"/>
        <v>2.0230061349693256</v>
      </c>
    </row>
    <row r="107" spans="1:19" ht="18" customHeight="1" x14ac:dyDescent="0.25">
      <c r="A107" s="43"/>
      <c r="B107" s="9" t="s">
        <v>20</v>
      </c>
      <c r="C107" s="45">
        <f t="shared" ref="C107:H107" si="18">SUM(C103:C106)</f>
        <v>500</v>
      </c>
      <c r="D107" s="33">
        <f t="shared" si="18"/>
        <v>78.06</v>
      </c>
      <c r="E107" s="33">
        <f t="shared" si="18"/>
        <v>15.398264462809902</v>
      </c>
      <c r="F107" s="33">
        <f t="shared" si="18"/>
        <v>15.800578512396688</v>
      </c>
      <c r="G107" s="33">
        <f t="shared" si="18"/>
        <v>67.000991735537198</v>
      </c>
      <c r="H107" s="33">
        <f t="shared" si="18"/>
        <v>470.00223140495899</v>
      </c>
      <c r="I107" s="34"/>
      <c r="J107" s="34"/>
      <c r="L107" s="201"/>
    </row>
    <row r="108" spans="1:19" ht="18" customHeight="1" x14ac:dyDescent="0.2">
      <c r="A108" s="334" t="s">
        <v>11</v>
      </c>
      <c r="B108" s="334"/>
      <c r="C108" s="233"/>
      <c r="D108" s="34"/>
      <c r="E108" s="179"/>
      <c r="F108" s="179"/>
      <c r="G108" s="179"/>
      <c r="H108" s="179"/>
      <c r="I108" s="179"/>
      <c r="J108" s="179"/>
      <c r="L108" s="201"/>
      <c r="P108" s="237"/>
      <c r="Q108" s="237"/>
      <c r="R108" s="237"/>
      <c r="S108" s="237"/>
    </row>
    <row r="109" spans="1:19" ht="18" customHeight="1" x14ac:dyDescent="0.25">
      <c r="A109" s="100">
        <v>56</v>
      </c>
      <c r="B109" s="1" t="s">
        <v>169</v>
      </c>
      <c r="C109" s="58">
        <v>230</v>
      </c>
      <c r="D109" s="19">
        <v>16.82</v>
      </c>
      <c r="E109" s="24">
        <v>6.4</v>
      </c>
      <c r="F109" s="24">
        <v>8</v>
      </c>
      <c r="G109" s="24">
        <v>30.7</v>
      </c>
      <c r="H109" s="24">
        <v>220.4</v>
      </c>
      <c r="I109" s="225"/>
      <c r="J109" s="225"/>
      <c r="K109" s="180">
        <v>8.8699999999999992</v>
      </c>
      <c r="L109" s="201">
        <f t="shared" si="16"/>
        <v>0.89627959413754255</v>
      </c>
    </row>
    <row r="110" spans="1:19" s="8" customFormat="1" ht="18" customHeight="1" x14ac:dyDescent="0.25">
      <c r="A110" s="41">
        <v>107</v>
      </c>
      <c r="B110" s="23" t="s">
        <v>204</v>
      </c>
      <c r="C110" s="52">
        <v>60</v>
      </c>
      <c r="D110" s="19">
        <v>27</v>
      </c>
      <c r="E110" s="20">
        <f>7.39+0.11</f>
        <v>7.5</v>
      </c>
      <c r="F110" s="20">
        <f>7.55+0.1</f>
        <v>7.6499999999999995</v>
      </c>
      <c r="G110" s="20">
        <f>18-3</f>
        <v>15</v>
      </c>
      <c r="H110" s="20">
        <f>170.01-11.2</f>
        <v>158.81</v>
      </c>
      <c r="I110" s="226"/>
      <c r="J110" s="226"/>
      <c r="K110" s="180">
        <v>15.46</v>
      </c>
      <c r="L110" s="201">
        <f t="shared" si="16"/>
        <v>0.74644243208279426</v>
      </c>
      <c r="M110" s="180"/>
      <c r="N110" s="180"/>
    </row>
    <row r="111" spans="1:19" s="8" customFormat="1" ht="18" customHeight="1" x14ac:dyDescent="0.25">
      <c r="A111" s="59">
        <v>227</v>
      </c>
      <c r="B111" s="1" t="s">
        <v>58</v>
      </c>
      <c r="C111" s="52">
        <v>150</v>
      </c>
      <c r="D111" s="19">
        <v>19.25</v>
      </c>
      <c r="E111" s="28">
        <v>7.1253333333333337</v>
      </c>
      <c r="F111" s="28">
        <v>7.69</v>
      </c>
      <c r="G111" s="28">
        <v>24.578000000000003</v>
      </c>
      <c r="H111" s="28">
        <v>193.35000000000002</v>
      </c>
      <c r="I111" s="216"/>
      <c r="J111" s="216"/>
      <c r="K111" s="180">
        <v>3.96</v>
      </c>
      <c r="L111" s="201">
        <f t="shared" si="16"/>
        <v>3.8611111111111107</v>
      </c>
      <c r="M111" s="180"/>
      <c r="N111" s="180"/>
    </row>
    <row r="112" spans="1:19" ht="18" customHeight="1" x14ac:dyDescent="0.25">
      <c r="A112" s="41">
        <v>300</v>
      </c>
      <c r="B112" s="23" t="s">
        <v>26</v>
      </c>
      <c r="C112" s="51">
        <v>200</v>
      </c>
      <c r="D112" s="19">
        <v>4.03</v>
      </c>
      <c r="E112" s="4">
        <v>0.1</v>
      </c>
      <c r="F112" s="4">
        <v>0</v>
      </c>
      <c r="G112" s="4">
        <v>20.2</v>
      </c>
      <c r="H112" s="4">
        <v>81.2</v>
      </c>
      <c r="I112" s="215"/>
      <c r="J112" s="215"/>
      <c r="K112" s="180">
        <v>5.35</v>
      </c>
      <c r="L112" s="201">
        <f t="shared" si="16"/>
        <v>-0.24672897196261667</v>
      </c>
    </row>
    <row r="113" spans="1:19" ht="18" customHeight="1" x14ac:dyDescent="0.25">
      <c r="A113" s="44" t="s">
        <v>38</v>
      </c>
      <c r="B113" s="4" t="s">
        <v>5</v>
      </c>
      <c r="C113" s="46">
        <v>60</v>
      </c>
      <c r="D113" s="37">
        <f>2.92*2</f>
        <v>5.84</v>
      </c>
      <c r="E113" s="2">
        <v>1.98</v>
      </c>
      <c r="F113" s="47">
        <v>0.36</v>
      </c>
      <c r="G113" s="2">
        <v>10.02</v>
      </c>
      <c r="H113" s="2">
        <v>51.24</v>
      </c>
      <c r="I113" s="217"/>
      <c r="J113" s="217"/>
      <c r="K113" s="180">
        <v>1.83</v>
      </c>
      <c r="L113" s="201">
        <f t="shared" si="16"/>
        <v>2.1912568306010929</v>
      </c>
    </row>
    <row r="114" spans="1:19" ht="18" customHeight="1" x14ac:dyDescent="0.25">
      <c r="A114" s="43"/>
      <c r="B114" s="9" t="s">
        <v>20</v>
      </c>
      <c r="C114" s="45">
        <f t="shared" ref="C114:H114" si="19">SUM(C109:C113)</f>
        <v>700</v>
      </c>
      <c r="D114" s="33">
        <f>SUM(D109:D113)</f>
        <v>72.94</v>
      </c>
      <c r="E114" s="33">
        <f t="shared" si="19"/>
        <v>23.105333333333338</v>
      </c>
      <c r="F114" s="33">
        <f t="shared" si="19"/>
        <v>23.7</v>
      </c>
      <c r="G114" s="33">
        <f t="shared" si="19"/>
        <v>100.498</v>
      </c>
      <c r="H114" s="33">
        <f t="shared" si="19"/>
        <v>705.00000000000011</v>
      </c>
      <c r="I114" s="34"/>
      <c r="J114" s="34"/>
      <c r="L114" s="201"/>
    </row>
    <row r="115" spans="1:19" ht="18" customHeight="1" x14ac:dyDescent="0.25">
      <c r="A115" s="43"/>
      <c r="B115" s="3" t="s">
        <v>9</v>
      </c>
      <c r="C115" s="45"/>
      <c r="D115" s="33">
        <f>D107+D114</f>
        <v>151</v>
      </c>
      <c r="E115" s="33">
        <f>E107+E114</f>
        <v>38.503597796143239</v>
      </c>
      <c r="F115" s="33">
        <f>F107+F114</f>
        <v>39.500578512396686</v>
      </c>
      <c r="G115" s="33">
        <f>G107+G114</f>
        <v>167.4989917355372</v>
      </c>
      <c r="H115" s="33">
        <f>H107+H114</f>
        <v>1175.002231404959</v>
      </c>
      <c r="I115" s="34">
        <v>176</v>
      </c>
      <c r="J115" s="34">
        <f>I115-D115</f>
        <v>25</v>
      </c>
      <c r="L115" s="201"/>
      <c r="Q115" s="237"/>
    </row>
    <row r="116" spans="1:19" ht="18" customHeight="1" x14ac:dyDescent="0.2">
      <c r="A116" s="331" t="s">
        <v>50</v>
      </c>
      <c r="B116" s="332"/>
      <c r="C116" s="231"/>
      <c r="D116" s="21"/>
      <c r="E116" s="34"/>
      <c r="F116" s="34"/>
      <c r="G116" s="34"/>
      <c r="H116" s="34"/>
      <c r="I116" s="34"/>
      <c r="J116" s="34"/>
      <c r="L116" s="201"/>
      <c r="P116" s="237"/>
      <c r="Q116" s="237"/>
      <c r="R116" s="237"/>
      <c r="S116" s="237"/>
    </row>
    <row r="117" spans="1:19" ht="18" customHeight="1" x14ac:dyDescent="0.2">
      <c r="A117" s="330" t="s">
        <v>12</v>
      </c>
      <c r="B117" s="330"/>
      <c r="C117" s="232"/>
      <c r="D117" s="34"/>
      <c r="E117" s="179"/>
      <c r="F117" s="179"/>
      <c r="G117" s="179"/>
      <c r="H117" s="179"/>
      <c r="I117" s="179"/>
      <c r="J117" s="179"/>
      <c r="L117" s="201"/>
    </row>
    <row r="118" spans="1:19" ht="18" customHeight="1" x14ac:dyDescent="0.25">
      <c r="A118" s="41">
        <v>136</v>
      </c>
      <c r="B118" s="23" t="s">
        <v>217</v>
      </c>
      <c r="C118" s="52">
        <v>100</v>
      </c>
      <c r="D118" s="37">
        <v>45.05</v>
      </c>
      <c r="E118" s="19">
        <v>4.7300000000000004</v>
      </c>
      <c r="F118" s="19">
        <v>8.43</v>
      </c>
      <c r="G118" s="19">
        <v>4.9000000000000004</v>
      </c>
      <c r="H118" s="19">
        <v>112.62</v>
      </c>
      <c r="I118" s="213"/>
      <c r="J118" s="213"/>
      <c r="K118" s="180">
        <v>16.09</v>
      </c>
      <c r="L118" s="201">
        <f t="shared" si="16"/>
        <v>1.7998756991920444</v>
      </c>
    </row>
    <row r="119" spans="1:19" ht="18" customHeight="1" x14ac:dyDescent="0.25">
      <c r="A119" s="41">
        <v>227</v>
      </c>
      <c r="B119" s="29" t="s">
        <v>34</v>
      </c>
      <c r="C119" s="57">
        <v>150</v>
      </c>
      <c r="D119" s="35">
        <v>16.86</v>
      </c>
      <c r="E119" s="28">
        <v>6.6666666666666696</v>
      </c>
      <c r="F119" s="28">
        <v>5.8666666666666671</v>
      </c>
      <c r="G119" s="28">
        <v>30.3333333333333</v>
      </c>
      <c r="H119" s="28">
        <v>200.8</v>
      </c>
      <c r="I119" s="216"/>
      <c r="J119" s="216"/>
      <c r="K119" s="180">
        <v>7.86</v>
      </c>
      <c r="L119" s="201">
        <f t="shared" si="16"/>
        <v>1.1450381679389312</v>
      </c>
    </row>
    <row r="120" spans="1:19" ht="18" customHeight="1" x14ac:dyDescent="0.25">
      <c r="A120" s="41">
        <v>300</v>
      </c>
      <c r="B120" s="23" t="s">
        <v>26</v>
      </c>
      <c r="C120" s="51">
        <v>200</v>
      </c>
      <c r="D120" s="19">
        <v>4.03</v>
      </c>
      <c r="E120" s="4">
        <v>0.1</v>
      </c>
      <c r="F120" s="4">
        <v>0</v>
      </c>
      <c r="G120" s="4">
        <v>20.2</v>
      </c>
      <c r="H120" s="4">
        <v>81.2</v>
      </c>
      <c r="I120" s="212"/>
      <c r="J120" s="212"/>
      <c r="K120" s="180">
        <v>2.65</v>
      </c>
      <c r="L120" s="201">
        <f t="shared" si="16"/>
        <v>0.52075471698113218</v>
      </c>
    </row>
    <row r="121" spans="1:19" ht="18" customHeight="1" x14ac:dyDescent="0.25">
      <c r="A121" s="41">
        <v>289</v>
      </c>
      <c r="B121" s="13" t="s">
        <v>137</v>
      </c>
      <c r="C121" s="46">
        <v>50</v>
      </c>
      <c r="D121" s="37">
        <v>10.8</v>
      </c>
      <c r="E121" s="4">
        <v>3.9</v>
      </c>
      <c r="F121" s="4">
        <v>1.5</v>
      </c>
      <c r="G121" s="4">
        <v>11.570000000000004</v>
      </c>
      <c r="H121" s="4">
        <v>75.38</v>
      </c>
      <c r="I121" s="212"/>
      <c r="J121" s="212"/>
      <c r="K121" s="180">
        <f>K106/2</f>
        <v>3.26</v>
      </c>
      <c r="L121" s="201">
        <f t="shared" si="16"/>
        <v>2.3128834355828225</v>
      </c>
    </row>
    <row r="122" spans="1:19" ht="18" customHeight="1" x14ac:dyDescent="0.25">
      <c r="A122" s="234"/>
      <c r="B122" s="9" t="s">
        <v>20</v>
      </c>
      <c r="C122" s="45">
        <f t="shared" ref="C122:H122" si="20">SUM(C118:C121)</f>
        <v>500</v>
      </c>
      <c r="D122" s="33">
        <f>SUM(D118:D121)</f>
        <v>76.739999999999995</v>
      </c>
      <c r="E122" s="33">
        <f t="shared" si="20"/>
        <v>15.39666666666667</v>
      </c>
      <c r="F122" s="33">
        <f t="shared" si="20"/>
        <v>15.796666666666667</v>
      </c>
      <c r="G122" s="33">
        <f t="shared" si="20"/>
        <v>67.003333333333302</v>
      </c>
      <c r="H122" s="33">
        <f t="shared" si="20"/>
        <v>470</v>
      </c>
      <c r="I122" s="34"/>
      <c r="J122" s="34"/>
    </row>
    <row r="123" spans="1:19" ht="18" customHeight="1" x14ac:dyDescent="0.2">
      <c r="A123" s="333" t="s">
        <v>11</v>
      </c>
      <c r="B123" s="334"/>
      <c r="C123" s="49"/>
      <c r="D123" s="34"/>
      <c r="E123" s="179"/>
      <c r="F123" s="179"/>
      <c r="G123" s="179"/>
      <c r="H123" s="179"/>
      <c r="I123" s="179"/>
      <c r="J123" s="179"/>
    </row>
    <row r="124" spans="1:19" ht="18" customHeight="1" x14ac:dyDescent="0.2">
      <c r="A124" s="235">
        <v>55</v>
      </c>
      <c r="B124" s="177" t="s">
        <v>155</v>
      </c>
      <c r="C124" s="52">
        <v>250</v>
      </c>
      <c r="D124" s="37">
        <v>16.39</v>
      </c>
      <c r="E124" s="23">
        <v>8.870000000000001</v>
      </c>
      <c r="F124" s="23">
        <v>9.4</v>
      </c>
      <c r="G124" s="23">
        <v>32.799999999999997</v>
      </c>
      <c r="H124" s="23">
        <v>251.28</v>
      </c>
      <c r="I124" s="195"/>
      <c r="J124" s="195"/>
      <c r="K124" s="180">
        <f>7.05/250*230</f>
        <v>6.4859999999999998</v>
      </c>
      <c r="L124" s="201">
        <f t="shared" ref="L124:L136" si="21">D124/K124-1</f>
        <v>1.526981190255936</v>
      </c>
    </row>
    <row r="125" spans="1:19" s="8" customFormat="1" ht="18" customHeight="1" x14ac:dyDescent="0.25">
      <c r="A125" s="41">
        <v>96</v>
      </c>
      <c r="B125" s="1" t="s">
        <v>212</v>
      </c>
      <c r="C125" s="236">
        <v>50</v>
      </c>
      <c r="D125" s="35">
        <v>35.349999999999994</v>
      </c>
      <c r="E125" s="14">
        <f>8.8-2.56</f>
        <v>6.24</v>
      </c>
      <c r="F125" s="14">
        <f>6.3-0.52</f>
        <v>5.7799999999999994</v>
      </c>
      <c r="G125" s="14">
        <f>3.1+9.17</f>
        <v>12.27</v>
      </c>
      <c r="H125" s="14">
        <f>92.68+30.68</f>
        <v>123.36000000000001</v>
      </c>
      <c r="I125" s="219"/>
      <c r="J125" s="219"/>
      <c r="K125" s="180">
        <v>24.87</v>
      </c>
      <c r="L125" s="201">
        <f t="shared" si="21"/>
        <v>0.4213912344189783</v>
      </c>
      <c r="M125" s="180"/>
      <c r="N125" s="180"/>
    </row>
    <row r="126" spans="1:19" s="8" customFormat="1" ht="18" customHeight="1" x14ac:dyDescent="0.25">
      <c r="A126" s="147" t="s">
        <v>170</v>
      </c>
      <c r="B126" s="4" t="s">
        <v>171</v>
      </c>
      <c r="C126" s="236">
        <v>150</v>
      </c>
      <c r="D126" s="37">
        <v>13.62</v>
      </c>
      <c r="E126" s="17">
        <v>5.910000000000001</v>
      </c>
      <c r="F126" s="17">
        <v>8.16</v>
      </c>
      <c r="G126" s="17">
        <v>25.21</v>
      </c>
      <c r="H126" s="17">
        <v>197.92</v>
      </c>
      <c r="I126" s="214"/>
      <c r="J126" s="214"/>
      <c r="K126" s="180">
        <v>6.19</v>
      </c>
      <c r="L126" s="201">
        <f t="shared" si="21"/>
        <v>1.2003231017770597</v>
      </c>
      <c r="M126" s="180"/>
      <c r="N126" s="180"/>
    </row>
    <row r="127" spans="1:19" ht="18" customHeight="1" x14ac:dyDescent="0.25">
      <c r="A127" s="41">
        <v>300</v>
      </c>
      <c r="B127" s="23" t="s">
        <v>26</v>
      </c>
      <c r="C127" s="51">
        <v>200</v>
      </c>
      <c r="D127" s="19">
        <v>4.03</v>
      </c>
      <c r="E127" s="4">
        <v>0.1</v>
      </c>
      <c r="F127" s="4">
        <v>0</v>
      </c>
      <c r="G127" s="4">
        <v>20.2</v>
      </c>
      <c r="H127" s="4">
        <v>81.2</v>
      </c>
      <c r="I127" s="212"/>
      <c r="J127" s="212"/>
      <c r="K127" s="180">
        <v>4.3099999999999996</v>
      </c>
      <c r="L127" s="201">
        <f t="shared" si="21"/>
        <v>-6.4965197215777093E-2</v>
      </c>
    </row>
    <row r="128" spans="1:19" ht="18" customHeight="1" x14ac:dyDescent="0.25">
      <c r="A128" s="44" t="s">
        <v>38</v>
      </c>
      <c r="B128" s="4" t="s">
        <v>5</v>
      </c>
      <c r="C128" s="46">
        <v>50</v>
      </c>
      <c r="D128" s="37">
        <v>4.87</v>
      </c>
      <c r="E128" s="2">
        <v>1.98</v>
      </c>
      <c r="F128" s="47">
        <v>0.36</v>
      </c>
      <c r="G128" s="2">
        <v>10.02</v>
      </c>
      <c r="H128" s="2">
        <v>51.24</v>
      </c>
      <c r="I128" s="217"/>
      <c r="J128" s="217"/>
      <c r="K128" s="180">
        <v>1.83</v>
      </c>
      <c r="L128" s="201">
        <f t="shared" si="21"/>
        <v>1.6612021857923498</v>
      </c>
    </row>
    <row r="129" spans="1:19" ht="18" customHeight="1" x14ac:dyDescent="0.25">
      <c r="A129" s="43"/>
      <c r="B129" s="9" t="s">
        <v>20</v>
      </c>
      <c r="C129" s="45">
        <f t="shared" ref="C129:H129" si="22">SUM(C124:C128)</f>
        <v>700</v>
      </c>
      <c r="D129" s="33">
        <f t="shared" si="22"/>
        <v>74.260000000000005</v>
      </c>
      <c r="E129" s="5">
        <f t="shared" si="22"/>
        <v>23.100000000000005</v>
      </c>
      <c r="F129" s="5">
        <f t="shared" si="22"/>
        <v>23.7</v>
      </c>
      <c r="G129" s="5">
        <f t="shared" si="22"/>
        <v>100.5</v>
      </c>
      <c r="H129" s="5">
        <f t="shared" si="22"/>
        <v>705</v>
      </c>
      <c r="I129" s="10"/>
      <c r="J129" s="10"/>
      <c r="L129" s="201"/>
    </row>
    <row r="130" spans="1:19" ht="18" customHeight="1" x14ac:dyDescent="0.25">
      <c r="A130" s="43"/>
      <c r="B130" s="3" t="s">
        <v>9</v>
      </c>
      <c r="C130" s="45"/>
      <c r="D130" s="33">
        <f>D122+D129</f>
        <v>151</v>
      </c>
      <c r="E130" s="33">
        <f>E122+E129</f>
        <v>38.496666666666677</v>
      </c>
      <c r="F130" s="33">
        <f>F122+F129</f>
        <v>39.49666666666667</v>
      </c>
      <c r="G130" s="33">
        <f>G122+G129</f>
        <v>167.5033333333333</v>
      </c>
      <c r="H130" s="33">
        <f>H122+H129</f>
        <v>1175</v>
      </c>
      <c r="I130" s="34">
        <v>176</v>
      </c>
      <c r="J130" s="34">
        <f>I130-D130</f>
        <v>25</v>
      </c>
      <c r="L130" s="201"/>
      <c r="Q130" s="237"/>
    </row>
    <row r="131" spans="1:19" ht="18" customHeight="1" x14ac:dyDescent="0.2">
      <c r="A131" s="333" t="s">
        <v>51</v>
      </c>
      <c r="B131" s="334"/>
      <c r="C131" s="233"/>
      <c r="D131" s="31"/>
      <c r="E131" s="183"/>
      <c r="F131" s="183"/>
      <c r="G131" s="183"/>
      <c r="H131" s="183"/>
      <c r="I131" s="10"/>
      <c r="J131" s="10"/>
      <c r="L131" s="201"/>
      <c r="P131" s="314"/>
      <c r="Q131" s="314"/>
      <c r="R131" s="314"/>
      <c r="S131" s="314"/>
    </row>
    <row r="132" spans="1:19" ht="18" customHeight="1" x14ac:dyDescent="0.2">
      <c r="A132" s="333" t="s">
        <v>12</v>
      </c>
      <c r="B132" s="334"/>
      <c r="C132" s="49"/>
      <c r="D132" s="33"/>
      <c r="E132" s="3"/>
      <c r="F132" s="3"/>
      <c r="G132" s="3"/>
      <c r="H132" s="3"/>
      <c r="I132" s="16"/>
      <c r="J132" s="16"/>
      <c r="L132" s="201"/>
    </row>
    <row r="133" spans="1:19" ht="18" customHeight="1" x14ac:dyDescent="0.25">
      <c r="A133" s="41">
        <v>258</v>
      </c>
      <c r="B133" s="4" t="s">
        <v>208</v>
      </c>
      <c r="C133" s="46">
        <v>100</v>
      </c>
      <c r="D133" s="37">
        <f>33.51-0.25-1.83</f>
        <v>31.43</v>
      </c>
      <c r="E133" s="15">
        <f>4.72+3.5</f>
        <v>8.2199999999999989</v>
      </c>
      <c r="F133" s="15">
        <f>9.96-2.14</f>
        <v>7.82</v>
      </c>
      <c r="G133" s="15">
        <f>41.6-23.97</f>
        <v>17.630000000000003</v>
      </c>
      <c r="H133" s="15">
        <f>272.82-100.92</f>
        <v>171.89999999999998</v>
      </c>
      <c r="I133" s="211"/>
      <c r="J133" s="211"/>
      <c r="K133" s="180">
        <v>20.03</v>
      </c>
      <c r="L133" s="201">
        <f t="shared" si="21"/>
        <v>0.56914628057913119</v>
      </c>
    </row>
    <row r="134" spans="1:19" ht="18" customHeight="1" x14ac:dyDescent="0.25">
      <c r="A134" s="41"/>
      <c r="B134" s="25" t="s">
        <v>205</v>
      </c>
      <c r="C134" s="46">
        <v>50</v>
      </c>
      <c r="D134" s="37">
        <v>13.82</v>
      </c>
      <c r="E134" s="78">
        <v>0.73</v>
      </c>
      <c r="F134" s="78">
        <v>0.37</v>
      </c>
      <c r="G134" s="78">
        <v>15.19</v>
      </c>
      <c r="H134" s="78">
        <v>67.09</v>
      </c>
      <c r="I134" s="211"/>
      <c r="J134" s="211"/>
      <c r="L134" s="201"/>
    </row>
    <row r="135" spans="1:19" ht="18" customHeight="1" x14ac:dyDescent="0.25">
      <c r="A135" s="41">
        <v>300</v>
      </c>
      <c r="B135" s="23" t="s">
        <v>26</v>
      </c>
      <c r="C135" s="51">
        <v>200</v>
      </c>
      <c r="D135" s="19">
        <v>4.03</v>
      </c>
      <c r="E135" s="4">
        <v>0.1</v>
      </c>
      <c r="F135" s="4">
        <v>0</v>
      </c>
      <c r="G135" s="4">
        <v>20.2</v>
      </c>
      <c r="H135" s="4">
        <v>81.2</v>
      </c>
      <c r="I135" s="212"/>
      <c r="J135" s="212"/>
      <c r="K135" s="180">
        <v>2.65</v>
      </c>
      <c r="L135" s="201">
        <f t="shared" si="21"/>
        <v>0.52075471698113218</v>
      </c>
    </row>
    <row r="136" spans="1:19" ht="18" customHeight="1" x14ac:dyDescent="0.25">
      <c r="A136" s="41" t="s">
        <v>36</v>
      </c>
      <c r="B136" s="13" t="s">
        <v>201</v>
      </c>
      <c r="C136" s="52">
        <v>150</v>
      </c>
      <c r="D136" s="37">
        <v>19.71</v>
      </c>
      <c r="E136" s="17">
        <v>6.35</v>
      </c>
      <c r="F136" s="17">
        <v>7.61</v>
      </c>
      <c r="G136" s="17">
        <v>13.98</v>
      </c>
      <c r="H136" s="17">
        <v>149.81</v>
      </c>
      <c r="I136" s="214"/>
      <c r="J136" s="214"/>
      <c r="K136" s="180">
        <f>K13/45*50</f>
        <v>10.327500000000001</v>
      </c>
      <c r="L136" s="201">
        <f t="shared" si="21"/>
        <v>0.90849673202614367</v>
      </c>
    </row>
    <row r="137" spans="1:19" ht="18" customHeight="1" x14ac:dyDescent="0.25">
      <c r="A137" s="43"/>
      <c r="B137" s="9" t="s">
        <v>20</v>
      </c>
      <c r="C137" s="45">
        <f>SUM(C133:C136)</f>
        <v>500</v>
      </c>
      <c r="D137" s="33">
        <f>SUM(D133:D136)</f>
        <v>68.990000000000009</v>
      </c>
      <c r="E137" s="33">
        <f>SUM(E133:E136)</f>
        <v>15.399999999999999</v>
      </c>
      <c r="F137" s="33">
        <f t="shared" ref="F137:H137" si="23">SUM(F133:F136)</f>
        <v>15.8</v>
      </c>
      <c r="G137" s="33">
        <f t="shared" si="23"/>
        <v>67</v>
      </c>
      <c r="H137" s="33">
        <f t="shared" si="23"/>
        <v>470</v>
      </c>
      <c r="I137" s="34"/>
      <c r="J137" s="34"/>
    </row>
    <row r="138" spans="1:19" ht="18" customHeight="1" x14ac:dyDescent="0.2">
      <c r="A138" s="330" t="s">
        <v>11</v>
      </c>
      <c r="B138" s="330"/>
      <c r="C138" s="232"/>
      <c r="D138" s="34"/>
      <c r="E138" s="179"/>
      <c r="F138" s="179"/>
      <c r="G138" s="179"/>
      <c r="H138" s="179"/>
      <c r="I138" s="179"/>
      <c r="J138" s="179"/>
      <c r="P138" s="237"/>
      <c r="Q138" s="237"/>
      <c r="R138" s="237"/>
      <c r="S138" s="237"/>
    </row>
    <row r="139" spans="1:19" ht="18" customHeight="1" x14ac:dyDescent="0.2">
      <c r="A139" s="70" t="s">
        <v>57</v>
      </c>
      <c r="B139" s="1" t="s">
        <v>214</v>
      </c>
      <c r="C139" s="67">
        <v>200</v>
      </c>
      <c r="D139" s="66">
        <v>11.41</v>
      </c>
      <c r="E139" s="66">
        <v>5.92</v>
      </c>
      <c r="F139" s="66">
        <v>6</v>
      </c>
      <c r="G139" s="66">
        <v>19.84</v>
      </c>
      <c r="H139" s="66">
        <v>156.64000000000001</v>
      </c>
      <c r="I139" s="228"/>
      <c r="J139" s="228"/>
      <c r="K139" s="180">
        <v>6.35</v>
      </c>
      <c r="L139" s="201">
        <f t="shared" ref="L139:L143" si="24">D139/K139-1</f>
        <v>0.79685039370078758</v>
      </c>
    </row>
    <row r="140" spans="1:19" ht="18" customHeight="1" x14ac:dyDescent="0.25">
      <c r="A140" s="41">
        <v>110</v>
      </c>
      <c r="B140" s="60" t="s">
        <v>173</v>
      </c>
      <c r="C140" s="51">
        <v>90</v>
      </c>
      <c r="D140" s="19">
        <v>34.369999999999997</v>
      </c>
      <c r="E140" s="28">
        <v>9.0299999999999994</v>
      </c>
      <c r="F140" s="28">
        <v>8.73</v>
      </c>
      <c r="G140" s="28">
        <v>18.7</v>
      </c>
      <c r="H140" s="28">
        <v>188.34</v>
      </c>
      <c r="I140" s="216"/>
      <c r="J140" s="216"/>
      <c r="K140" s="180">
        <v>13.35</v>
      </c>
      <c r="L140" s="201">
        <f t="shared" si="24"/>
        <v>1.5745318352059923</v>
      </c>
    </row>
    <row r="141" spans="1:19" ht="18" customHeight="1" x14ac:dyDescent="0.25">
      <c r="A141" s="59">
        <v>146</v>
      </c>
      <c r="B141" s="18" t="s">
        <v>174</v>
      </c>
      <c r="C141" s="52">
        <v>150</v>
      </c>
      <c r="D141" s="37">
        <v>22.46</v>
      </c>
      <c r="E141" s="17">
        <v>4.75</v>
      </c>
      <c r="F141" s="17">
        <v>8.370000000000001</v>
      </c>
      <c r="G141" s="17">
        <v>25.06</v>
      </c>
      <c r="H141" s="87">
        <v>193.42</v>
      </c>
      <c r="I141" s="221"/>
      <c r="J141" s="221"/>
      <c r="K141" s="180">
        <v>13.49</v>
      </c>
      <c r="L141" s="201">
        <f t="shared" si="24"/>
        <v>0.66493699036323206</v>
      </c>
      <c r="M141" s="180" t="s">
        <v>178</v>
      </c>
      <c r="N141" s="11"/>
    </row>
    <row r="142" spans="1:19" ht="18" customHeight="1" x14ac:dyDescent="0.25">
      <c r="A142" s="41">
        <v>300</v>
      </c>
      <c r="B142" s="23" t="s">
        <v>26</v>
      </c>
      <c r="C142" s="51">
        <v>200</v>
      </c>
      <c r="D142" s="19">
        <v>4.03</v>
      </c>
      <c r="E142" s="4">
        <v>0.1</v>
      </c>
      <c r="F142" s="4">
        <v>0</v>
      </c>
      <c r="G142" s="4">
        <v>20.2</v>
      </c>
      <c r="H142" s="4">
        <v>81.2</v>
      </c>
      <c r="I142" s="212"/>
      <c r="J142" s="212"/>
      <c r="K142" s="180">
        <v>2.65</v>
      </c>
      <c r="L142" s="201">
        <f t="shared" si="24"/>
        <v>0.52075471698113218</v>
      </c>
      <c r="M142" s="11"/>
      <c r="N142" s="11"/>
    </row>
    <row r="143" spans="1:19" ht="18" customHeight="1" x14ac:dyDescent="0.25">
      <c r="A143" s="44" t="s">
        <v>38</v>
      </c>
      <c r="B143" s="4" t="s">
        <v>5</v>
      </c>
      <c r="C143" s="46">
        <v>60</v>
      </c>
      <c r="D143" s="37">
        <f>D128*2</f>
        <v>9.74</v>
      </c>
      <c r="E143" s="2">
        <v>3.3000000000000003</v>
      </c>
      <c r="F143" s="47">
        <v>0.6</v>
      </c>
      <c r="G143" s="2">
        <v>16.7</v>
      </c>
      <c r="H143" s="2">
        <v>85.399999999999991</v>
      </c>
      <c r="I143" s="217"/>
      <c r="J143" s="217"/>
      <c r="K143" s="11">
        <f>K128*2</f>
        <v>3.66</v>
      </c>
      <c r="L143" s="201">
        <f t="shared" si="24"/>
        <v>1.6612021857923498</v>
      </c>
      <c r="M143" s="11"/>
      <c r="N143" s="11"/>
    </row>
    <row r="144" spans="1:19" ht="18" customHeight="1" x14ac:dyDescent="0.25">
      <c r="A144" s="41"/>
      <c r="B144" s="9" t="s">
        <v>20</v>
      </c>
      <c r="C144" s="45">
        <f t="shared" ref="C144:H144" si="25">SUM(C139:C143)</f>
        <v>700</v>
      </c>
      <c r="D144" s="33">
        <f>SUM(D139:D143)</f>
        <v>82.01</v>
      </c>
      <c r="E144" s="33">
        <f t="shared" si="25"/>
        <v>23.1</v>
      </c>
      <c r="F144" s="33">
        <f t="shared" si="25"/>
        <v>23.700000000000003</v>
      </c>
      <c r="G144" s="33">
        <f t="shared" si="25"/>
        <v>100.5</v>
      </c>
      <c r="H144" s="33">
        <f t="shared" si="25"/>
        <v>705</v>
      </c>
      <c r="I144" s="34"/>
      <c r="J144" s="34"/>
      <c r="K144" s="11"/>
      <c r="L144" s="11"/>
      <c r="M144" s="11"/>
      <c r="N144" s="11"/>
    </row>
    <row r="145" spans="1:17" ht="18" customHeight="1" x14ac:dyDescent="0.25">
      <c r="A145" s="41"/>
      <c r="B145" s="9"/>
      <c r="C145" s="45"/>
      <c r="D145" s="33">
        <f>D137+D144</f>
        <v>151</v>
      </c>
      <c r="E145" s="33">
        <f>E137+E144</f>
        <v>38.5</v>
      </c>
      <c r="F145" s="33">
        <f>F137+F144</f>
        <v>39.5</v>
      </c>
      <c r="G145" s="33">
        <f>G137+G144</f>
        <v>167.5</v>
      </c>
      <c r="H145" s="33">
        <f>H137+H144</f>
        <v>1175</v>
      </c>
      <c r="I145" s="34">
        <v>176</v>
      </c>
      <c r="J145" s="34">
        <f>D145-I145</f>
        <v>-25</v>
      </c>
      <c r="K145" s="11"/>
      <c r="L145" s="11"/>
      <c r="M145" s="11"/>
      <c r="N145" s="11"/>
      <c r="Q145" s="237"/>
    </row>
    <row r="146" spans="1:17" ht="18" customHeight="1" x14ac:dyDescent="0.2">
      <c r="A146" s="331" t="s">
        <v>52</v>
      </c>
      <c r="B146" s="332"/>
      <c r="C146" s="231"/>
      <c r="D146" s="21"/>
      <c r="E146" s="34"/>
      <c r="F146" s="34"/>
      <c r="G146" s="34"/>
      <c r="H146" s="34"/>
      <c r="I146" s="34"/>
      <c r="J146" s="34"/>
      <c r="K146" s="11"/>
      <c r="L146" s="11"/>
      <c r="M146" s="11"/>
      <c r="N146" s="11"/>
    </row>
    <row r="147" spans="1:17" ht="18" customHeight="1" x14ac:dyDescent="0.2">
      <c r="A147" s="330" t="s">
        <v>12</v>
      </c>
      <c r="B147" s="330"/>
      <c r="C147" s="232"/>
      <c r="D147" s="34"/>
      <c r="E147" s="179"/>
      <c r="F147" s="179"/>
      <c r="G147" s="179"/>
      <c r="H147" s="179"/>
      <c r="I147" s="179"/>
      <c r="J147" s="179"/>
      <c r="K147" s="11"/>
      <c r="L147" s="11"/>
      <c r="M147" s="11"/>
      <c r="N147" s="11"/>
    </row>
    <row r="148" spans="1:17" ht="18" customHeight="1" x14ac:dyDescent="0.25">
      <c r="A148" s="59">
        <v>227</v>
      </c>
      <c r="B148" s="1" t="s">
        <v>58</v>
      </c>
      <c r="C148" s="52">
        <v>150</v>
      </c>
      <c r="D148" s="19">
        <v>19.25</v>
      </c>
      <c r="E148" s="28">
        <v>7.1253333333333337</v>
      </c>
      <c r="F148" s="28">
        <v>7.69</v>
      </c>
      <c r="G148" s="28">
        <v>24.578000000000003</v>
      </c>
      <c r="H148" s="28">
        <v>193.35000000000002</v>
      </c>
      <c r="I148" s="216"/>
      <c r="J148" s="216"/>
      <c r="K148" s="180">
        <v>3.96</v>
      </c>
      <c r="L148" s="201">
        <f t="shared" ref="L148:L151" si="26">D148/K148-1</f>
        <v>3.8611111111111107</v>
      </c>
      <c r="M148" s="11"/>
      <c r="N148" s="11"/>
    </row>
    <row r="149" spans="1:17" ht="18" customHeight="1" x14ac:dyDescent="0.25">
      <c r="A149" s="41">
        <v>136</v>
      </c>
      <c r="B149" s="4" t="s">
        <v>90</v>
      </c>
      <c r="C149" s="46">
        <v>90</v>
      </c>
      <c r="D149" s="37">
        <f>D118/100*90</f>
        <v>40.544999999999995</v>
      </c>
      <c r="E149" s="19">
        <v>4.7300000000000004</v>
      </c>
      <c r="F149" s="19">
        <v>8.43</v>
      </c>
      <c r="G149" s="19">
        <v>4.9000000000000004</v>
      </c>
      <c r="H149" s="19">
        <v>112.62</v>
      </c>
      <c r="I149" s="213"/>
      <c r="J149" s="213"/>
      <c r="K149" s="180">
        <v>16.09</v>
      </c>
      <c r="L149" s="201">
        <f t="shared" si="26"/>
        <v>1.5198881292728399</v>
      </c>
      <c r="M149" s="11"/>
      <c r="N149" s="11"/>
    </row>
    <row r="150" spans="1:17" ht="18" customHeight="1" x14ac:dyDescent="0.25">
      <c r="A150" s="41">
        <v>300</v>
      </c>
      <c r="B150" s="23" t="s">
        <v>26</v>
      </c>
      <c r="C150" s="51">
        <v>200</v>
      </c>
      <c r="D150" s="19">
        <v>4.03</v>
      </c>
      <c r="E150" s="4">
        <v>0.1</v>
      </c>
      <c r="F150" s="4">
        <v>0</v>
      </c>
      <c r="G150" s="4">
        <v>20.2</v>
      </c>
      <c r="H150" s="4">
        <v>81.2</v>
      </c>
      <c r="I150" s="212"/>
      <c r="J150" s="212"/>
      <c r="K150" s="180">
        <v>2.65</v>
      </c>
      <c r="L150" s="201">
        <f t="shared" si="26"/>
        <v>0.52075471698113218</v>
      </c>
      <c r="M150" s="11"/>
      <c r="N150" s="11"/>
    </row>
    <row r="151" spans="1:17" ht="18" customHeight="1" x14ac:dyDescent="0.25">
      <c r="A151" s="41">
        <v>289</v>
      </c>
      <c r="B151" s="13" t="s">
        <v>219</v>
      </c>
      <c r="C151" s="52">
        <v>60</v>
      </c>
      <c r="D151" s="37">
        <v>11.07</v>
      </c>
      <c r="E151" s="17">
        <v>3.444</v>
      </c>
      <c r="F151" s="17">
        <v>0.08</v>
      </c>
      <c r="G151" s="17">
        <v>17.317999999999998</v>
      </c>
      <c r="H151" s="17">
        <v>82.83</v>
      </c>
      <c r="I151" s="214"/>
      <c r="J151" s="214"/>
      <c r="K151" s="11">
        <f>3.26/50*60</f>
        <v>3.9119999999999995</v>
      </c>
      <c r="L151" s="201">
        <f t="shared" si="26"/>
        <v>1.8297546012269943</v>
      </c>
      <c r="M151" s="11"/>
      <c r="N151" s="11"/>
    </row>
    <row r="152" spans="1:17" ht="18" customHeight="1" x14ac:dyDescent="0.25">
      <c r="A152" s="234"/>
      <c r="B152" s="9" t="s">
        <v>20</v>
      </c>
      <c r="C152" s="45">
        <f t="shared" ref="C152:H152" si="27">SUM(C148:C151)</f>
        <v>500</v>
      </c>
      <c r="D152" s="33">
        <f>SUM(D148:D151)</f>
        <v>74.894999999999996</v>
      </c>
      <c r="E152" s="33">
        <f t="shared" si="27"/>
        <v>15.399333333333335</v>
      </c>
      <c r="F152" s="33">
        <f t="shared" si="27"/>
        <v>16.2</v>
      </c>
      <c r="G152" s="33">
        <f t="shared" si="27"/>
        <v>66.995999999999995</v>
      </c>
      <c r="H152" s="33">
        <f t="shared" si="27"/>
        <v>470</v>
      </c>
      <c r="I152" s="34"/>
      <c r="J152" s="34"/>
      <c r="K152" s="11"/>
      <c r="L152" s="201"/>
      <c r="M152" s="11"/>
      <c r="N152" s="11"/>
    </row>
    <row r="153" spans="1:17" ht="18" customHeight="1" x14ac:dyDescent="0.2">
      <c r="A153" s="333" t="s">
        <v>11</v>
      </c>
      <c r="B153" s="334"/>
      <c r="C153" s="49"/>
      <c r="D153" s="34"/>
      <c r="E153" s="179"/>
      <c r="F153" s="179"/>
      <c r="G153" s="179"/>
      <c r="H153" s="179"/>
      <c r="I153" s="179"/>
      <c r="J153" s="179"/>
      <c r="K153" s="11"/>
      <c r="L153" s="201"/>
      <c r="M153" s="11"/>
      <c r="N153" s="11"/>
    </row>
    <row r="154" spans="1:17" ht="18" customHeight="1" x14ac:dyDescent="0.25">
      <c r="A154" s="41">
        <v>55</v>
      </c>
      <c r="B154" s="18" t="s">
        <v>191</v>
      </c>
      <c r="C154" s="58">
        <v>250</v>
      </c>
      <c r="D154" s="35">
        <v>21.48</v>
      </c>
      <c r="E154" s="12">
        <v>8.25</v>
      </c>
      <c r="F154" s="12">
        <v>9.6999999999999993</v>
      </c>
      <c r="G154" s="12">
        <v>31.8</v>
      </c>
      <c r="H154" s="12">
        <v>247.5</v>
      </c>
      <c r="I154" s="229"/>
      <c r="J154" s="229"/>
      <c r="K154" s="180">
        <v>7.9375</v>
      </c>
      <c r="L154" s="201">
        <v>0.79685039370078758</v>
      </c>
      <c r="M154" s="11"/>
      <c r="N154" s="11"/>
    </row>
    <row r="155" spans="1:17" ht="18" customHeight="1" x14ac:dyDescent="0.25">
      <c r="A155" s="41">
        <v>259</v>
      </c>
      <c r="B155" s="23" t="s">
        <v>164</v>
      </c>
      <c r="C155" s="51">
        <v>150</v>
      </c>
      <c r="D155" s="19">
        <f>48.19-3.45</f>
        <v>44.739999999999995</v>
      </c>
      <c r="E155" s="61">
        <f>13.62-2.37-0.85</f>
        <v>10.4</v>
      </c>
      <c r="F155" s="61">
        <f>15.84-0.3-2.2</f>
        <v>13.34</v>
      </c>
      <c r="G155" s="61">
        <f>45.48-14.49-7</f>
        <v>23.989999999999995</v>
      </c>
      <c r="H155" s="61">
        <f>376.76-70.14-51.7</f>
        <v>254.92000000000002</v>
      </c>
      <c r="I155" s="222"/>
      <c r="J155" s="222"/>
      <c r="K155" s="180">
        <v>46.81</v>
      </c>
      <c r="L155" s="201">
        <v>1.028199102755821</v>
      </c>
      <c r="M155" s="11"/>
      <c r="N155" s="11"/>
    </row>
    <row r="156" spans="1:17" ht="15.75" x14ac:dyDescent="0.25">
      <c r="A156" s="41">
        <v>300</v>
      </c>
      <c r="B156" s="23" t="s">
        <v>26</v>
      </c>
      <c r="C156" s="51">
        <v>200</v>
      </c>
      <c r="D156" s="19">
        <v>4.03</v>
      </c>
      <c r="E156" s="4">
        <v>0.1</v>
      </c>
      <c r="F156" s="4">
        <v>0</v>
      </c>
      <c r="G156" s="4">
        <v>20.2</v>
      </c>
      <c r="H156" s="4">
        <v>81.2</v>
      </c>
      <c r="I156" s="212"/>
      <c r="J156" s="212"/>
      <c r="K156" s="180">
        <v>2.65</v>
      </c>
      <c r="L156" s="201">
        <v>1.2188679245283018</v>
      </c>
      <c r="M156" s="11"/>
      <c r="N156" s="11"/>
    </row>
    <row r="157" spans="1:17" ht="15.75" x14ac:dyDescent="0.25">
      <c r="A157" s="44" t="s">
        <v>38</v>
      </c>
      <c r="B157" s="4" t="s">
        <v>5</v>
      </c>
      <c r="C157" s="56">
        <v>60</v>
      </c>
      <c r="D157" s="37">
        <v>2.92</v>
      </c>
      <c r="E157" s="2">
        <v>1.98</v>
      </c>
      <c r="F157" s="47">
        <v>0.36</v>
      </c>
      <c r="G157" s="2">
        <v>10.02</v>
      </c>
      <c r="H157" s="2">
        <v>51.24</v>
      </c>
      <c r="I157" s="217"/>
      <c r="J157" s="217"/>
      <c r="K157" s="180">
        <v>1.83</v>
      </c>
      <c r="L157" s="201">
        <v>0.59562841530054644</v>
      </c>
      <c r="M157" s="11"/>
      <c r="N157" s="11"/>
    </row>
    <row r="158" spans="1:17" ht="15.75" x14ac:dyDescent="0.25">
      <c r="A158" s="44" t="s">
        <v>37</v>
      </c>
      <c r="B158" s="4" t="s">
        <v>0</v>
      </c>
      <c r="C158" s="46">
        <v>40</v>
      </c>
      <c r="D158" s="19">
        <f>D128/40*50-3.15</f>
        <v>2.9374999999999996</v>
      </c>
      <c r="E158" s="4">
        <v>2.37</v>
      </c>
      <c r="F158" s="4">
        <v>0.3</v>
      </c>
      <c r="G158" s="4">
        <v>14.49</v>
      </c>
      <c r="H158" s="4">
        <v>70.14</v>
      </c>
      <c r="I158" s="217"/>
      <c r="J158" s="217"/>
      <c r="L158" s="201"/>
      <c r="M158" s="11"/>
      <c r="N158" s="11"/>
    </row>
    <row r="159" spans="1:17" ht="15.75" x14ac:dyDescent="0.25">
      <c r="A159" s="43"/>
      <c r="B159" s="9" t="s">
        <v>20</v>
      </c>
      <c r="C159" s="45">
        <f>SUM(C154:C158)</f>
        <v>700</v>
      </c>
      <c r="D159" s="33">
        <f>SUM(D154:D158)</f>
        <v>76.107500000000002</v>
      </c>
      <c r="E159" s="33">
        <f t="shared" ref="E159:H159" si="28">SUM(E154:E158)</f>
        <v>23.1</v>
      </c>
      <c r="F159" s="33">
        <f t="shared" si="28"/>
        <v>23.7</v>
      </c>
      <c r="G159" s="33">
        <f t="shared" si="28"/>
        <v>100.49999999999999</v>
      </c>
      <c r="H159" s="33">
        <f t="shared" si="28"/>
        <v>705</v>
      </c>
      <c r="I159" s="34"/>
      <c r="J159" s="34"/>
      <c r="L159" s="201"/>
      <c r="M159" s="11"/>
      <c r="N159" s="11">
        <f>M160/L160-1</f>
        <v>0.83211240217781945</v>
      </c>
    </row>
    <row r="160" spans="1:17" ht="15.75" x14ac:dyDescent="0.25">
      <c r="A160" s="43"/>
      <c r="B160" s="3" t="s">
        <v>9</v>
      </c>
      <c r="C160" s="45"/>
      <c r="D160" s="33">
        <f>D159+D152</f>
        <v>151.0025</v>
      </c>
      <c r="E160" s="33">
        <f t="shared" ref="E160:H160" si="29">E159+E152</f>
        <v>38.49933333333334</v>
      </c>
      <c r="F160" s="33">
        <f t="shared" si="29"/>
        <v>39.9</v>
      </c>
      <c r="G160" s="33">
        <f t="shared" si="29"/>
        <v>167.49599999999998</v>
      </c>
      <c r="H160" s="33">
        <f t="shared" si="29"/>
        <v>1175</v>
      </c>
      <c r="I160" s="34">
        <v>176</v>
      </c>
      <c r="J160" s="34">
        <f>D160-I160</f>
        <v>-24.997500000000002</v>
      </c>
      <c r="K160" s="180">
        <f>SUM(K10:K159)</f>
        <v>960.63975000000005</v>
      </c>
      <c r="L160" s="180">
        <f>K160/10</f>
        <v>96.063974999999999</v>
      </c>
      <c r="M160" s="11">
        <f>151+25</f>
        <v>176</v>
      </c>
      <c r="N160" s="209">
        <f>M160/L160-1</f>
        <v>0.83211240217781945</v>
      </c>
      <c r="Q160" s="237"/>
    </row>
    <row r="161" spans="1:14" ht="15.75" x14ac:dyDescent="0.2">
      <c r="A161" s="63"/>
      <c r="B161" s="335" t="s">
        <v>46</v>
      </c>
      <c r="C161" s="335"/>
      <c r="D161" s="6"/>
      <c r="E161" s="6">
        <f>E22+E37+E54+E70+E85+E100+E115+E130+E145+E160</f>
        <v>385.12834414855638</v>
      </c>
      <c r="F161" s="6">
        <f>F22+F37+F54+F70+F85+F100+F115+F130+F145+F160</f>
        <v>416.75651678400141</v>
      </c>
      <c r="G161" s="6">
        <f>G22+G37+G54+G70+G85+G100+G115+G130+G145+G160</f>
        <v>1674.9789911743696</v>
      </c>
      <c r="H161" s="6">
        <f>H22+H37+H54+H70+H85+H100+H115+H130+H145+H160</f>
        <v>11749.998786960514</v>
      </c>
      <c r="I161" s="179"/>
      <c r="J161" s="179"/>
      <c r="M161" s="11"/>
      <c r="N161" s="11"/>
    </row>
    <row r="162" spans="1:14" ht="15.75" x14ac:dyDescent="0.25">
      <c r="A162" s="63"/>
      <c r="B162" s="329" t="s">
        <v>47</v>
      </c>
      <c r="C162" s="329"/>
      <c r="D162" s="64"/>
      <c r="E162" s="6">
        <f>E161/10</f>
        <v>38.512834414855639</v>
      </c>
      <c r="F162" s="6">
        <f>F161/10</f>
        <v>41.675651678400143</v>
      </c>
      <c r="G162" s="6">
        <f>G161/10</f>
        <v>167.49789911743696</v>
      </c>
      <c r="H162" s="6">
        <f>H161/10</f>
        <v>1174.9998786960514</v>
      </c>
      <c r="I162" s="179"/>
      <c r="J162" s="179"/>
      <c r="M162" s="11"/>
      <c r="N162" s="11"/>
    </row>
    <row r="163" spans="1:14" ht="15.75" x14ac:dyDescent="0.2">
      <c r="E163" s="179"/>
      <c r="F163" s="179"/>
      <c r="G163" s="179"/>
      <c r="H163" s="179"/>
      <c r="I163" s="179"/>
      <c r="J163" s="179"/>
      <c r="M163" s="11"/>
    </row>
  </sheetData>
  <mergeCells count="42">
    <mergeCell ref="A123:B123"/>
    <mergeCell ref="A131:B131"/>
    <mergeCell ref="A132:B132"/>
    <mergeCell ref="A72:B72"/>
    <mergeCell ref="A78:B78"/>
    <mergeCell ref="A86:B86"/>
    <mergeCell ref="A87:B87"/>
    <mergeCell ref="A117:B117"/>
    <mergeCell ref="A93:B93"/>
    <mergeCell ref="A101:B101"/>
    <mergeCell ref="A102:B102"/>
    <mergeCell ref="A108:B108"/>
    <mergeCell ref="A116:B116"/>
    <mergeCell ref="A15:B15"/>
    <mergeCell ref="A23:B23"/>
    <mergeCell ref="A24:B24"/>
    <mergeCell ref="A38:B38"/>
    <mergeCell ref="A30:B30"/>
    <mergeCell ref="H3:H7"/>
    <mergeCell ref="E5:E7"/>
    <mergeCell ref="F5:F7"/>
    <mergeCell ref="G5:G7"/>
    <mergeCell ref="A8:B8"/>
    <mergeCell ref="A9:B9"/>
    <mergeCell ref="B1:G2"/>
    <mergeCell ref="A3:A7"/>
    <mergeCell ref="B3:B7"/>
    <mergeCell ref="C3:C7"/>
    <mergeCell ref="D3:D7"/>
    <mergeCell ref="E3:G4"/>
    <mergeCell ref="A39:B39"/>
    <mergeCell ref="A46:B46"/>
    <mergeCell ref="A56:B56"/>
    <mergeCell ref="A63:B63"/>
    <mergeCell ref="A71:B71"/>
    <mergeCell ref="A55:B55"/>
    <mergeCell ref="B162:C162"/>
    <mergeCell ref="A138:B138"/>
    <mergeCell ref="A146:B146"/>
    <mergeCell ref="A147:B147"/>
    <mergeCell ref="A153:B153"/>
    <mergeCell ref="B161:C161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0" verticalDpi="0" r:id="rId1"/>
  <rowBreaks count="9" manualBreakCount="9">
    <brk id="22" max="16383" man="1"/>
    <brk id="37" max="16383" man="1"/>
    <brk id="54" max="16383" man="1"/>
    <brk id="70" max="16383" man="1"/>
    <brk id="85" max="16383" man="1"/>
    <brk id="100" max="16383" man="1"/>
    <brk id="115" max="16383" man="1"/>
    <brk id="130" max="16383" man="1"/>
    <brk id="1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A73" workbookViewId="0">
      <selection activeCell="D68" sqref="D68"/>
    </sheetView>
  </sheetViews>
  <sheetFormatPr defaultRowHeight="15" x14ac:dyDescent="0.2"/>
  <cols>
    <col min="1" max="1" width="10" style="39" customWidth="1"/>
    <col min="2" max="2" width="57" style="11" customWidth="1"/>
    <col min="3" max="3" width="9.5703125" style="50" customWidth="1"/>
    <col min="4" max="4" width="13.42578125" style="36" customWidth="1"/>
    <col min="5" max="5" width="9.42578125" style="11" customWidth="1"/>
    <col min="6" max="7" width="10.7109375" style="11" customWidth="1"/>
    <col min="8" max="8" width="11.85546875" style="11" customWidth="1"/>
    <col min="9" max="10" width="11.85546875" style="11" hidden="1" customWidth="1"/>
    <col min="11" max="14" width="0" style="180" hidden="1" customWidth="1"/>
    <col min="15" max="15" width="0" style="11" hidden="1" customWidth="1"/>
    <col min="16" max="16384" width="9.140625" style="11"/>
  </cols>
  <sheetData>
    <row r="1" spans="1:18" ht="15" customHeight="1" x14ac:dyDescent="0.25">
      <c r="A1" s="251"/>
      <c r="B1" s="261" t="s">
        <v>47</v>
      </c>
      <c r="C1" s="261"/>
      <c r="D1" s="299"/>
      <c r="E1" s="179" t="e">
        <f>#REF!/10</f>
        <v>#REF!</v>
      </c>
      <c r="F1" s="179" t="e">
        <f>#REF!/10</f>
        <v>#REF!</v>
      </c>
      <c r="G1" s="179" t="e">
        <f>#REF!/10</f>
        <v>#REF!</v>
      </c>
      <c r="H1" s="179" t="e">
        <f>#REF!/10</f>
        <v>#REF!</v>
      </c>
      <c r="I1" s="179"/>
      <c r="J1" s="179"/>
      <c r="M1" s="11"/>
      <c r="N1" s="11"/>
    </row>
    <row r="2" spans="1:18" ht="63" x14ac:dyDescent="0.2">
      <c r="A2" s="256" t="s">
        <v>14</v>
      </c>
      <c r="B2" s="262" t="s">
        <v>13</v>
      </c>
      <c r="C2" s="286" t="s">
        <v>6</v>
      </c>
      <c r="D2" s="302" t="s">
        <v>27</v>
      </c>
      <c r="E2" s="250" t="s">
        <v>7</v>
      </c>
      <c r="F2" s="250"/>
      <c r="G2" s="250"/>
      <c r="H2" s="95" t="s">
        <v>8</v>
      </c>
      <c r="I2" s="210"/>
      <c r="J2" s="210"/>
    </row>
    <row r="3" spans="1:18" ht="15.75" customHeight="1" x14ac:dyDescent="0.25">
      <c r="A3" s="257">
        <v>158</v>
      </c>
      <c r="B3" s="267" t="s">
        <v>138</v>
      </c>
      <c r="C3" s="287">
        <v>90</v>
      </c>
      <c r="D3" s="303">
        <f>26.29+3+1.85</f>
        <v>31.14</v>
      </c>
      <c r="E3" s="306">
        <v>7.04</v>
      </c>
      <c r="F3" s="310">
        <v>10.563333333333333</v>
      </c>
      <c r="G3" s="311">
        <v>12.470000000000002</v>
      </c>
      <c r="H3" s="313">
        <v>168.32</v>
      </c>
      <c r="I3" s="221"/>
      <c r="J3" s="221"/>
      <c r="K3" s="180">
        <v>13.8</v>
      </c>
      <c r="L3" s="201">
        <f t="shared" ref="L3:L12" si="0">D3/K3-1</f>
        <v>1.2565217391304349</v>
      </c>
      <c r="O3" s="8"/>
      <c r="P3" s="8"/>
      <c r="Q3" s="8"/>
      <c r="R3" s="8"/>
    </row>
    <row r="4" spans="1:18" ht="15.75" x14ac:dyDescent="0.25">
      <c r="A4" s="253">
        <v>136</v>
      </c>
      <c r="B4" s="248" t="s">
        <v>168</v>
      </c>
      <c r="C4" s="296">
        <v>100</v>
      </c>
      <c r="D4" s="300">
        <v>45.05</v>
      </c>
      <c r="E4" s="308">
        <v>4.7300000000000004</v>
      </c>
      <c r="F4" s="302">
        <v>8.43</v>
      </c>
      <c r="G4" s="312">
        <v>4.9000000000000004</v>
      </c>
      <c r="H4" s="249">
        <v>112.62</v>
      </c>
      <c r="I4" s="213"/>
      <c r="J4" s="213"/>
      <c r="K4" s="180">
        <v>16.09</v>
      </c>
      <c r="L4" s="201">
        <f t="shared" si="0"/>
        <v>1.7998756991920444</v>
      </c>
    </row>
    <row r="5" spans="1:18" ht="15.75" x14ac:dyDescent="0.25">
      <c r="A5" s="253">
        <v>136</v>
      </c>
      <c r="B5" s="264" t="s">
        <v>90</v>
      </c>
      <c r="C5" s="283">
        <v>90</v>
      </c>
      <c r="D5" s="300">
        <v>40.544999999999995</v>
      </c>
      <c r="E5" s="247">
        <v>4.7300000000000004</v>
      </c>
      <c r="F5" s="247">
        <v>8.43</v>
      </c>
      <c r="G5" s="247">
        <v>4.9000000000000004</v>
      </c>
      <c r="H5" s="249">
        <v>112.62</v>
      </c>
      <c r="I5" s="213"/>
      <c r="J5" s="213"/>
      <c r="K5" s="180">
        <v>16.09</v>
      </c>
      <c r="L5" s="201">
        <f t="shared" si="0"/>
        <v>1.5198881292728399</v>
      </c>
      <c r="M5" s="11"/>
      <c r="N5" s="11"/>
    </row>
    <row r="6" spans="1:18" ht="15.75" x14ac:dyDescent="0.25">
      <c r="A6" s="253">
        <v>208</v>
      </c>
      <c r="B6" s="264" t="s">
        <v>130</v>
      </c>
      <c r="C6" s="283">
        <v>140</v>
      </c>
      <c r="D6" s="300">
        <f>39.68+0.04</f>
        <v>39.72</v>
      </c>
      <c r="E6" s="307">
        <f>8.27160493827161+2.8</f>
        <v>11.071604938271609</v>
      </c>
      <c r="F6" s="307">
        <f>12.7449382716049+2.36</f>
        <v>15.104938271604899</v>
      </c>
      <c r="G6" s="307">
        <f>40.2469135802469-12.01</f>
        <v>28.236913580246899</v>
      </c>
      <c r="H6" s="307">
        <f>308.777777777778-18.78</f>
        <v>289.99777777777797</v>
      </c>
      <c r="I6" s="211"/>
      <c r="J6" s="211"/>
      <c r="K6" s="180">
        <v>15.99</v>
      </c>
      <c r="L6" s="201">
        <f t="shared" si="0"/>
        <v>1.4840525328330205</v>
      </c>
    </row>
    <row r="7" spans="1:18" ht="15.75" x14ac:dyDescent="0.25">
      <c r="A7" s="258">
        <v>55</v>
      </c>
      <c r="B7" s="268" t="s">
        <v>155</v>
      </c>
      <c r="C7" s="288">
        <v>230</v>
      </c>
      <c r="D7" s="304">
        <f>11.67+3.7</f>
        <v>15.370000000000001</v>
      </c>
      <c r="E7" s="268">
        <v>8.870000000000001</v>
      </c>
      <c r="F7" s="268">
        <v>9.4</v>
      </c>
      <c r="G7" s="268">
        <v>32.799999999999997</v>
      </c>
      <c r="H7" s="268">
        <v>251.28</v>
      </c>
      <c r="I7" s="220"/>
      <c r="J7" s="220"/>
      <c r="K7" s="180">
        <f>7.05/250*230</f>
        <v>6.4859999999999998</v>
      </c>
      <c r="L7" s="201">
        <f t="shared" si="0"/>
        <v>1.3697193956213387</v>
      </c>
    </row>
    <row r="8" spans="1:18" ht="15.75" customHeight="1" x14ac:dyDescent="0.2">
      <c r="A8" s="259">
        <v>55</v>
      </c>
      <c r="B8" s="271" t="s">
        <v>155</v>
      </c>
      <c r="C8" s="291">
        <v>230</v>
      </c>
      <c r="D8" s="301">
        <f>11.67+3.7</f>
        <v>15.370000000000001</v>
      </c>
      <c r="E8" s="275">
        <v>8.870000000000001</v>
      </c>
      <c r="F8" s="275">
        <v>9.4</v>
      </c>
      <c r="G8" s="275">
        <v>32.799999999999997</v>
      </c>
      <c r="H8" s="275">
        <v>251.28</v>
      </c>
      <c r="I8" s="195"/>
      <c r="J8" s="195"/>
      <c r="K8" s="180">
        <f>7.05/250*230</f>
        <v>6.4859999999999998</v>
      </c>
      <c r="L8" s="201">
        <f t="shared" si="0"/>
        <v>1.3697193956213387</v>
      </c>
    </row>
    <row r="9" spans="1:18" ht="15.75" x14ac:dyDescent="0.25">
      <c r="A9" s="260" t="s">
        <v>37</v>
      </c>
      <c r="B9" s="276" t="s">
        <v>193</v>
      </c>
      <c r="C9" s="245">
        <v>50</v>
      </c>
      <c r="D9" s="242">
        <v>27.7</v>
      </c>
      <c r="E9" s="212">
        <v>2.29</v>
      </c>
      <c r="F9" s="212">
        <v>0.21999999999999997</v>
      </c>
      <c r="G9" s="212">
        <v>14.49</v>
      </c>
      <c r="H9" s="212">
        <v>67.28</v>
      </c>
      <c r="I9" s="212"/>
      <c r="J9" s="212"/>
      <c r="K9" s="180">
        <v>14.1</v>
      </c>
      <c r="L9" s="201">
        <f t="shared" si="0"/>
        <v>0.96453900709219864</v>
      </c>
      <c r="M9" s="180">
        <v>24.18</v>
      </c>
      <c r="N9" s="182">
        <f>D9-M9</f>
        <v>3.5199999999999996</v>
      </c>
    </row>
    <row r="10" spans="1:18" ht="15.75" x14ac:dyDescent="0.25">
      <c r="A10" s="41">
        <v>96</v>
      </c>
      <c r="B10" s="1" t="s">
        <v>210</v>
      </c>
      <c r="C10" s="236">
        <v>90</v>
      </c>
      <c r="D10" s="19">
        <f>60.2-1.15</f>
        <v>59.050000000000004</v>
      </c>
      <c r="E10" s="14">
        <v>8.8000000000000007</v>
      </c>
      <c r="F10" s="14">
        <v>6.3</v>
      </c>
      <c r="G10" s="14">
        <v>3.1</v>
      </c>
      <c r="H10" s="14">
        <v>92.68</v>
      </c>
      <c r="I10" s="219"/>
      <c r="J10" s="219"/>
      <c r="K10" s="180">
        <v>24.87</v>
      </c>
      <c r="L10" s="201">
        <f t="shared" si="0"/>
        <v>1.3743466023321274</v>
      </c>
      <c r="O10" s="8"/>
      <c r="P10" s="8"/>
      <c r="Q10" s="8"/>
      <c r="R10" s="8"/>
    </row>
    <row r="11" spans="1:18" ht="12.75" customHeight="1" x14ac:dyDescent="0.25">
      <c r="A11" s="41">
        <v>96</v>
      </c>
      <c r="B11" s="1" t="s">
        <v>203</v>
      </c>
      <c r="C11" s="51">
        <v>90</v>
      </c>
      <c r="D11" s="19">
        <f>34.37+13.26+1.85</f>
        <v>49.48</v>
      </c>
      <c r="E11" s="28">
        <v>4.7866666666666697</v>
      </c>
      <c r="F11" s="28">
        <v>7.5322222222221997</v>
      </c>
      <c r="G11" s="28">
        <v>8.4666666666666686</v>
      </c>
      <c r="H11" s="28">
        <v>118.1</v>
      </c>
      <c r="I11" s="216"/>
      <c r="J11" s="216"/>
      <c r="K11" s="180">
        <v>13.21</v>
      </c>
      <c r="L11" s="201">
        <f t="shared" si="0"/>
        <v>2.7456472369417102</v>
      </c>
      <c r="O11" s="8"/>
      <c r="P11" s="8"/>
      <c r="Q11" s="8"/>
      <c r="R11" s="8"/>
    </row>
    <row r="12" spans="1:18" ht="12.75" customHeight="1" x14ac:dyDescent="0.25">
      <c r="A12" s="41">
        <v>110</v>
      </c>
      <c r="B12" s="60" t="s">
        <v>167</v>
      </c>
      <c r="C12" s="236">
        <v>90</v>
      </c>
      <c r="D12" s="19">
        <f>41.22-4.87+1.85</f>
        <v>38.200000000000003</v>
      </c>
      <c r="E12" s="14">
        <v>8.8000000000000007</v>
      </c>
      <c r="F12" s="14">
        <v>6.3</v>
      </c>
      <c r="G12" s="14">
        <v>3.1</v>
      </c>
      <c r="H12" s="14">
        <v>92.68</v>
      </c>
      <c r="I12" s="219"/>
      <c r="J12" s="219"/>
      <c r="K12" s="180">
        <v>19.64</v>
      </c>
      <c r="L12" s="201">
        <f t="shared" si="0"/>
        <v>0.94501018329938913</v>
      </c>
      <c r="M12" s="180">
        <f>94.94/220*150</f>
        <v>64.73181818181817</v>
      </c>
      <c r="O12" s="8"/>
      <c r="P12" s="93"/>
      <c r="Q12" s="238"/>
      <c r="R12" s="8"/>
    </row>
    <row r="13" spans="1:18" ht="12.75" customHeight="1" x14ac:dyDescent="0.25">
      <c r="A13" s="41">
        <v>259</v>
      </c>
      <c r="B13" s="23" t="s">
        <v>164</v>
      </c>
      <c r="C13" s="51">
        <v>220</v>
      </c>
      <c r="D13" s="19">
        <f>94.94/220*150+8.13+3.33</f>
        <v>76.191818181818164</v>
      </c>
      <c r="E13" s="61">
        <v>13.62</v>
      </c>
      <c r="F13" s="61">
        <v>15.84</v>
      </c>
      <c r="G13" s="61">
        <v>45.48</v>
      </c>
      <c r="H13" s="61">
        <v>376.76000000000005</v>
      </c>
      <c r="I13" s="222"/>
      <c r="J13" s="222"/>
      <c r="K13" s="180">
        <v>46.81</v>
      </c>
      <c r="L13" s="201">
        <v>1.028199102755821</v>
      </c>
      <c r="M13" s="11"/>
      <c r="N13" s="11"/>
    </row>
    <row r="14" spans="1:18" ht="12.75" customHeight="1" x14ac:dyDescent="0.25">
      <c r="A14" s="41">
        <v>241</v>
      </c>
      <c r="B14" s="25" t="s">
        <v>209</v>
      </c>
      <c r="C14" s="46">
        <v>140</v>
      </c>
      <c r="D14" s="37">
        <f>49.75+11</f>
        <v>60.75</v>
      </c>
      <c r="E14" s="78">
        <v>9.218264462809902</v>
      </c>
      <c r="F14" s="78">
        <v>13.82057851239669</v>
      </c>
      <c r="G14" s="78">
        <v>7.630991735537199</v>
      </c>
      <c r="H14" s="78">
        <v>189.902231404959</v>
      </c>
      <c r="I14" s="218"/>
      <c r="J14" s="218"/>
      <c r="K14" s="180">
        <v>23.95</v>
      </c>
      <c r="L14" s="201">
        <f>D14/K14-1</f>
        <v>1.536534446764092</v>
      </c>
    </row>
    <row r="15" spans="1:18" s="7" customFormat="1" ht="15.75" x14ac:dyDescent="0.25">
      <c r="A15" s="41" t="s">
        <v>39</v>
      </c>
      <c r="B15" s="2" t="s">
        <v>163</v>
      </c>
      <c r="C15" s="51">
        <v>30</v>
      </c>
      <c r="D15" s="19">
        <v>8.18</v>
      </c>
      <c r="E15" s="28">
        <v>3.5999999999999996</v>
      </c>
      <c r="F15" s="28">
        <v>0.6</v>
      </c>
      <c r="G15" s="28">
        <v>11.400000000000002</v>
      </c>
      <c r="H15" s="28">
        <v>78</v>
      </c>
      <c r="I15" s="216"/>
      <c r="J15" s="216"/>
      <c r="K15" s="180"/>
      <c r="L15" s="201"/>
      <c r="M15" s="180"/>
      <c r="N15" s="180"/>
      <c r="O15" s="11"/>
      <c r="P15" s="11"/>
      <c r="Q15" s="11"/>
      <c r="R15" s="11"/>
    </row>
    <row r="16" spans="1:18" ht="15.75" x14ac:dyDescent="0.25">
      <c r="A16" s="41" t="s">
        <v>36</v>
      </c>
      <c r="B16" s="4" t="s">
        <v>161</v>
      </c>
      <c r="C16" s="46">
        <v>100</v>
      </c>
      <c r="D16" s="37">
        <v>40</v>
      </c>
      <c r="E16" s="15">
        <v>1.61</v>
      </c>
      <c r="F16" s="15">
        <v>0.115</v>
      </c>
      <c r="G16" s="15">
        <v>16.2</v>
      </c>
      <c r="H16" s="15">
        <v>73.599999999999994</v>
      </c>
      <c r="I16" s="211"/>
      <c r="J16" s="211"/>
      <c r="K16" s="180">
        <v>18.5</v>
      </c>
      <c r="L16" s="201">
        <f t="shared" ref="L16:L55" si="1">D16/K16-1</f>
        <v>1.1621621621621623</v>
      </c>
    </row>
    <row r="17" spans="1:18" ht="15.75" x14ac:dyDescent="0.25">
      <c r="A17" s="59" t="s">
        <v>36</v>
      </c>
      <c r="B17" s="273" t="s">
        <v>161</v>
      </c>
      <c r="C17" s="293">
        <v>100</v>
      </c>
      <c r="D17" s="242">
        <v>40</v>
      </c>
      <c r="E17" s="212">
        <v>1.61</v>
      </c>
      <c r="F17" s="212">
        <v>0.115</v>
      </c>
      <c r="G17" s="212">
        <v>16.2</v>
      </c>
      <c r="H17" s="212">
        <v>73.599999999999994</v>
      </c>
      <c r="I17" s="212"/>
      <c r="J17" s="212"/>
      <c r="K17" s="180">
        <v>18.5</v>
      </c>
      <c r="L17" s="201">
        <f t="shared" si="1"/>
        <v>1.1621621621621623</v>
      </c>
    </row>
    <row r="18" spans="1:18" ht="15.75" x14ac:dyDescent="0.25">
      <c r="A18" s="41">
        <v>146</v>
      </c>
      <c r="B18" s="18" t="s">
        <v>174</v>
      </c>
      <c r="C18" s="52">
        <v>150</v>
      </c>
      <c r="D18" s="37">
        <v>22.46</v>
      </c>
      <c r="E18" s="17">
        <v>4.75</v>
      </c>
      <c r="F18" s="17">
        <v>8.370000000000001</v>
      </c>
      <c r="G18" s="17">
        <v>25.06</v>
      </c>
      <c r="H18" s="87">
        <v>193.42</v>
      </c>
      <c r="I18" s="221"/>
      <c r="J18" s="221"/>
      <c r="K18" s="180">
        <v>13.49</v>
      </c>
      <c r="L18" s="201">
        <f t="shared" si="1"/>
        <v>0.66493699036323206</v>
      </c>
      <c r="M18" s="180" t="s">
        <v>178</v>
      </c>
      <c r="N18" s="11"/>
    </row>
    <row r="19" spans="1:18" ht="12.75" customHeight="1" x14ac:dyDescent="0.25">
      <c r="A19" s="41">
        <v>227</v>
      </c>
      <c r="B19" s="25" t="s">
        <v>58</v>
      </c>
      <c r="C19" s="27">
        <v>150</v>
      </c>
      <c r="D19" s="19">
        <v>19.25</v>
      </c>
      <c r="E19" s="28">
        <v>7.1253333333333337</v>
      </c>
      <c r="F19" s="28">
        <v>7.69</v>
      </c>
      <c r="G19" s="28">
        <v>24.578000000000003</v>
      </c>
      <c r="H19" s="28">
        <v>193.35000000000002</v>
      </c>
      <c r="I19" s="216"/>
      <c r="J19" s="216"/>
      <c r="K19" s="180">
        <v>3.96</v>
      </c>
      <c r="L19" s="201">
        <f t="shared" si="1"/>
        <v>3.8611111111111107</v>
      </c>
    </row>
    <row r="20" spans="1:18" s="8" customFormat="1" ht="12.75" customHeight="1" x14ac:dyDescent="0.25">
      <c r="A20" s="41">
        <v>227</v>
      </c>
      <c r="B20" s="1" t="s">
        <v>58</v>
      </c>
      <c r="C20" s="52">
        <v>150</v>
      </c>
      <c r="D20" s="19">
        <v>19.25</v>
      </c>
      <c r="E20" s="28">
        <v>7.1253333333333337</v>
      </c>
      <c r="F20" s="28">
        <v>7.69</v>
      </c>
      <c r="G20" s="28">
        <v>24.578000000000003</v>
      </c>
      <c r="H20" s="28">
        <v>193.35000000000002</v>
      </c>
      <c r="I20" s="216"/>
      <c r="J20" s="216"/>
      <c r="K20" s="180">
        <v>3.96</v>
      </c>
      <c r="L20" s="201">
        <f t="shared" si="1"/>
        <v>3.8611111111111107</v>
      </c>
      <c r="M20" s="180"/>
      <c r="N20" s="180"/>
      <c r="O20" s="11"/>
      <c r="P20" s="11"/>
      <c r="Q20" s="11"/>
      <c r="R20" s="11"/>
    </row>
    <row r="21" spans="1:18" s="8" customFormat="1" ht="12.75" customHeight="1" x14ac:dyDescent="0.25">
      <c r="A21" s="41">
        <v>227</v>
      </c>
      <c r="B21" s="1" t="s">
        <v>58</v>
      </c>
      <c r="C21" s="52">
        <v>150</v>
      </c>
      <c r="D21" s="19">
        <v>19.25</v>
      </c>
      <c r="E21" s="28">
        <v>7.1253333333333337</v>
      </c>
      <c r="F21" s="28">
        <v>7.69</v>
      </c>
      <c r="G21" s="28">
        <v>24.578000000000003</v>
      </c>
      <c r="H21" s="28">
        <v>193.35000000000002</v>
      </c>
      <c r="I21" s="216"/>
      <c r="J21" s="216"/>
      <c r="K21" s="180">
        <v>3.96</v>
      </c>
      <c r="L21" s="201">
        <f t="shared" si="1"/>
        <v>3.8611111111111107</v>
      </c>
      <c r="M21" s="180"/>
      <c r="N21" s="180"/>
    </row>
    <row r="22" spans="1:18" ht="12.75" customHeight="1" x14ac:dyDescent="0.25">
      <c r="A22" s="41">
        <v>227</v>
      </c>
      <c r="B22" s="1" t="s">
        <v>58</v>
      </c>
      <c r="C22" s="52">
        <v>150</v>
      </c>
      <c r="D22" s="19">
        <v>19.25</v>
      </c>
      <c r="E22" s="28">
        <v>7.1253333333333337</v>
      </c>
      <c r="F22" s="28">
        <v>7.69</v>
      </c>
      <c r="G22" s="28">
        <v>24.578000000000003</v>
      </c>
      <c r="H22" s="28">
        <v>193.35000000000002</v>
      </c>
      <c r="I22" s="216"/>
      <c r="J22" s="216"/>
      <c r="K22" s="180">
        <v>3.96</v>
      </c>
      <c r="L22" s="201">
        <f t="shared" si="1"/>
        <v>3.8611111111111107</v>
      </c>
      <c r="M22" s="11"/>
      <c r="N22" s="11"/>
    </row>
    <row r="23" spans="1:18" ht="12.75" customHeight="1" x14ac:dyDescent="0.25">
      <c r="A23" s="41">
        <v>193</v>
      </c>
      <c r="B23" s="25" t="s">
        <v>136</v>
      </c>
      <c r="C23" s="46">
        <v>200</v>
      </c>
      <c r="D23" s="37">
        <f>22.82+1.85</f>
        <v>24.67</v>
      </c>
      <c r="E23" s="15">
        <v>10.821604938271609</v>
      </c>
      <c r="F23" s="15">
        <v>15.104938271604899</v>
      </c>
      <c r="G23" s="15">
        <v>30.346913580246898</v>
      </c>
      <c r="H23" s="15">
        <v>300.52</v>
      </c>
      <c r="I23" s="211"/>
      <c r="J23" s="211"/>
      <c r="K23" s="180">
        <v>10.89</v>
      </c>
      <c r="L23" s="201">
        <f t="shared" si="1"/>
        <v>1.2653810835629016</v>
      </c>
    </row>
    <row r="24" spans="1:18" ht="15.75" x14ac:dyDescent="0.25">
      <c r="A24" s="41">
        <v>208</v>
      </c>
      <c r="B24" s="4" t="s">
        <v>195</v>
      </c>
      <c r="C24" s="46">
        <v>150</v>
      </c>
      <c r="D24" s="37">
        <v>19.88</v>
      </c>
      <c r="E24" s="15">
        <v>7.0116049382716099</v>
      </c>
      <c r="F24" s="15">
        <v>12.9149382716049</v>
      </c>
      <c r="G24" s="15">
        <v>32.116913580246894</v>
      </c>
      <c r="H24" s="15">
        <v>271.43777777777802</v>
      </c>
      <c r="I24" s="211"/>
      <c r="J24" s="211"/>
      <c r="K24" s="180">
        <v>9.7100000000000009</v>
      </c>
      <c r="L24" s="201">
        <f t="shared" si="1"/>
        <v>1.0473738414006175</v>
      </c>
      <c r="O24" s="8"/>
      <c r="P24" s="8"/>
      <c r="Q24" s="8"/>
      <c r="R24" s="8"/>
    </row>
    <row r="25" spans="1:18" ht="15.75" customHeight="1" x14ac:dyDescent="0.25">
      <c r="A25" s="255">
        <v>300</v>
      </c>
      <c r="B25" s="274" t="s">
        <v>192</v>
      </c>
      <c r="C25" s="294">
        <v>200</v>
      </c>
      <c r="D25" s="305">
        <v>14.01</v>
      </c>
      <c r="E25" s="212">
        <v>0.1</v>
      </c>
      <c r="F25" s="212">
        <v>0</v>
      </c>
      <c r="G25" s="212">
        <v>20.2</v>
      </c>
      <c r="H25" s="212">
        <v>81.2</v>
      </c>
      <c r="I25" s="212"/>
      <c r="J25" s="212"/>
      <c r="K25" s="180">
        <v>2.65</v>
      </c>
      <c r="L25" s="201">
        <f t="shared" si="1"/>
        <v>4.2867924528301886</v>
      </c>
    </row>
    <row r="26" spans="1:18" ht="15.75" x14ac:dyDescent="0.25">
      <c r="A26" s="252">
        <v>300</v>
      </c>
      <c r="B26" s="269" t="s">
        <v>29</v>
      </c>
      <c r="C26" s="289">
        <v>200</v>
      </c>
      <c r="D26" s="213">
        <f>13.59-1.48</f>
        <v>12.11</v>
      </c>
      <c r="E26" s="212">
        <v>0.1</v>
      </c>
      <c r="F26" s="212">
        <v>0</v>
      </c>
      <c r="G26" s="212">
        <v>20.2</v>
      </c>
      <c r="H26" s="212">
        <v>81.2</v>
      </c>
      <c r="I26" s="212"/>
      <c r="J26" s="212"/>
      <c r="K26" s="180">
        <v>4.3099999999999996</v>
      </c>
      <c r="L26" s="201">
        <f t="shared" si="1"/>
        <v>1.8097447795823669</v>
      </c>
    </row>
    <row r="27" spans="1:18" ht="15.75" x14ac:dyDescent="0.25">
      <c r="A27" s="41">
        <v>300</v>
      </c>
      <c r="B27" s="176" t="s">
        <v>29</v>
      </c>
      <c r="C27" s="46">
        <v>200</v>
      </c>
      <c r="D27" s="19">
        <f>13.59-1.48</f>
        <v>12.11</v>
      </c>
      <c r="E27" s="4">
        <v>0.1</v>
      </c>
      <c r="F27" s="4">
        <v>0</v>
      </c>
      <c r="G27" s="4">
        <v>36.47</v>
      </c>
      <c r="H27" s="4">
        <v>189.84</v>
      </c>
      <c r="I27" s="212"/>
      <c r="J27" s="212"/>
      <c r="K27" s="180">
        <v>4.3099999999999996</v>
      </c>
      <c r="L27" s="201">
        <f t="shared" si="1"/>
        <v>1.8097447795823669</v>
      </c>
    </row>
    <row r="28" spans="1:18" ht="12.75" customHeight="1" x14ac:dyDescent="0.25">
      <c r="A28" s="41">
        <v>300</v>
      </c>
      <c r="B28" s="176" t="s">
        <v>29</v>
      </c>
      <c r="C28" s="46">
        <v>200</v>
      </c>
      <c r="D28" s="19">
        <f>13.59-1.48</f>
        <v>12.11</v>
      </c>
      <c r="E28" s="4">
        <v>0.1</v>
      </c>
      <c r="F28" s="4">
        <v>0</v>
      </c>
      <c r="G28" s="4">
        <v>20.2</v>
      </c>
      <c r="H28" s="4">
        <v>81.2</v>
      </c>
      <c r="I28" s="212"/>
      <c r="J28" s="212"/>
      <c r="K28" s="180">
        <v>4.3099999999999996</v>
      </c>
      <c r="L28" s="201">
        <f t="shared" si="1"/>
        <v>1.8097447795823669</v>
      </c>
    </row>
    <row r="29" spans="1:18" ht="12.75" customHeight="1" x14ac:dyDescent="0.25">
      <c r="A29" s="41">
        <v>300</v>
      </c>
      <c r="B29" s="176" t="s">
        <v>29</v>
      </c>
      <c r="C29" s="46">
        <v>200</v>
      </c>
      <c r="D29" s="19">
        <f>13.59-1.48</f>
        <v>12.11</v>
      </c>
      <c r="E29" s="4">
        <v>0.1</v>
      </c>
      <c r="F29" s="4">
        <v>0</v>
      </c>
      <c r="G29" s="4">
        <v>20.2</v>
      </c>
      <c r="H29" s="4">
        <v>81.2</v>
      </c>
      <c r="I29" s="212"/>
      <c r="J29" s="212"/>
      <c r="K29" s="180">
        <v>4.3099999999999996</v>
      </c>
      <c r="L29" s="201">
        <f t="shared" si="1"/>
        <v>1.8097447795823669</v>
      </c>
    </row>
    <row r="30" spans="1:18" s="8" customFormat="1" ht="12.75" customHeight="1" x14ac:dyDescent="0.25">
      <c r="A30" s="41">
        <v>311</v>
      </c>
      <c r="B30" s="12" t="s">
        <v>25</v>
      </c>
      <c r="C30" s="27">
        <v>200</v>
      </c>
      <c r="D30" s="19">
        <v>9.1999999999999993</v>
      </c>
      <c r="E30" s="20">
        <v>0.2</v>
      </c>
      <c r="F30" s="20">
        <v>0.1</v>
      </c>
      <c r="G30" s="20">
        <v>17.2</v>
      </c>
      <c r="H30" s="12">
        <v>70</v>
      </c>
      <c r="I30" s="215"/>
      <c r="J30" s="215"/>
      <c r="K30" s="180">
        <v>5.35</v>
      </c>
      <c r="L30" s="201">
        <f t="shared" si="1"/>
        <v>0.71962616822429903</v>
      </c>
      <c r="M30" s="180"/>
      <c r="N30" s="180"/>
      <c r="O30" s="11"/>
      <c r="P30" s="11"/>
      <c r="Q30" s="11"/>
      <c r="R30" s="11"/>
    </row>
    <row r="31" spans="1:18" ht="12.75" customHeight="1" x14ac:dyDescent="0.25">
      <c r="A31" s="41" t="s">
        <v>36</v>
      </c>
      <c r="B31" s="13" t="s">
        <v>159</v>
      </c>
      <c r="C31" s="52">
        <v>40</v>
      </c>
      <c r="D31" s="37">
        <f>438/1000*45</f>
        <v>19.71</v>
      </c>
      <c r="E31" s="17">
        <v>1.82</v>
      </c>
      <c r="F31" s="17">
        <v>0.4</v>
      </c>
      <c r="G31" s="17">
        <v>1.64</v>
      </c>
      <c r="H31" s="17">
        <v>17.5</v>
      </c>
      <c r="I31" s="214"/>
      <c r="J31" s="214"/>
      <c r="K31" s="180">
        <f>206.55/1000*45</f>
        <v>9.2947500000000005</v>
      </c>
      <c r="L31" s="201">
        <f t="shared" si="1"/>
        <v>1.1205519244734932</v>
      </c>
    </row>
    <row r="32" spans="1:18" ht="12.75" customHeight="1" x14ac:dyDescent="0.25">
      <c r="A32" s="100" t="s">
        <v>36</v>
      </c>
      <c r="B32" s="13" t="s">
        <v>159</v>
      </c>
      <c r="C32" s="52">
        <v>50</v>
      </c>
      <c r="D32" s="37">
        <v>21.9</v>
      </c>
      <c r="E32" s="17">
        <v>1.82</v>
      </c>
      <c r="F32" s="17">
        <v>0.4</v>
      </c>
      <c r="G32" s="17">
        <v>1.64</v>
      </c>
      <c r="H32" s="17">
        <v>17.5</v>
      </c>
      <c r="I32" s="214"/>
      <c r="J32" s="214"/>
      <c r="K32" s="180" t="e">
        <f>#REF!/45*50</f>
        <v>#REF!</v>
      </c>
      <c r="L32" s="201" t="e">
        <f t="shared" si="1"/>
        <v>#REF!</v>
      </c>
    </row>
    <row r="33" spans="1:18" ht="15.75" x14ac:dyDescent="0.25">
      <c r="A33" s="41">
        <v>136</v>
      </c>
      <c r="B33" s="23" t="s">
        <v>153</v>
      </c>
      <c r="C33" s="52">
        <v>90</v>
      </c>
      <c r="D33" s="37">
        <v>42.97</v>
      </c>
      <c r="E33" s="19">
        <v>5.64</v>
      </c>
      <c r="F33" s="19">
        <v>5.9500000000000011</v>
      </c>
      <c r="G33" s="19">
        <v>13.9</v>
      </c>
      <c r="H33" s="19">
        <v>131.71</v>
      </c>
      <c r="I33" s="213"/>
      <c r="J33" s="213"/>
      <c r="K33" s="180">
        <v>14.89</v>
      </c>
      <c r="L33" s="201">
        <f t="shared" si="1"/>
        <v>1.8858294157152451</v>
      </c>
    </row>
    <row r="34" spans="1:18" ht="15.75" x14ac:dyDescent="0.25">
      <c r="A34" s="59" t="s">
        <v>36</v>
      </c>
      <c r="B34" s="263" t="s">
        <v>118</v>
      </c>
      <c r="C34" s="297">
        <v>10</v>
      </c>
      <c r="D34" s="213">
        <v>2.87</v>
      </c>
      <c r="E34" s="213">
        <v>0.36399999999999999</v>
      </c>
      <c r="F34" s="213">
        <v>0.08</v>
      </c>
      <c r="G34" s="213">
        <v>0.32799999999999996</v>
      </c>
      <c r="H34" s="213">
        <v>3.5</v>
      </c>
      <c r="I34" s="213"/>
      <c r="J34" s="213"/>
      <c r="K34" s="180">
        <v>1.79</v>
      </c>
      <c r="L34" s="201">
        <f t="shared" si="1"/>
        <v>0.6033519553072626</v>
      </c>
    </row>
    <row r="35" spans="1:18" ht="15.75" x14ac:dyDescent="0.25">
      <c r="A35" s="59" t="s">
        <v>36</v>
      </c>
      <c r="B35" s="23" t="s">
        <v>118</v>
      </c>
      <c r="C35" s="51">
        <v>10</v>
      </c>
      <c r="D35" s="19">
        <v>2.87</v>
      </c>
      <c r="E35" s="19">
        <v>0.36399999999999999</v>
      </c>
      <c r="F35" s="19">
        <v>0.08</v>
      </c>
      <c r="G35" s="19">
        <v>0.32799999999999996</v>
      </c>
      <c r="H35" s="19">
        <v>3.5</v>
      </c>
      <c r="I35" s="213"/>
      <c r="J35" s="213"/>
      <c r="K35" s="180">
        <v>1.79</v>
      </c>
      <c r="L35" s="201">
        <f t="shared" si="1"/>
        <v>0.6033519553072626</v>
      </c>
    </row>
    <row r="36" spans="1:18" s="8" customFormat="1" ht="12.75" customHeight="1" x14ac:dyDescent="0.25">
      <c r="A36" s="41" t="s">
        <v>36</v>
      </c>
      <c r="B36" s="23" t="s">
        <v>118</v>
      </c>
      <c r="C36" s="51">
        <v>10</v>
      </c>
      <c r="D36" s="35">
        <v>2.87</v>
      </c>
      <c r="E36" s="19">
        <v>0.36399999999999999</v>
      </c>
      <c r="F36" s="19">
        <v>0.08</v>
      </c>
      <c r="G36" s="19">
        <v>0.32799999999999996</v>
      </c>
      <c r="H36" s="19">
        <v>3.5</v>
      </c>
      <c r="I36" s="213"/>
      <c r="J36" s="213"/>
      <c r="K36" s="180">
        <v>1.79</v>
      </c>
      <c r="L36" s="201">
        <f t="shared" si="1"/>
        <v>0.6033519553072626</v>
      </c>
      <c r="M36" s="180"/>
      <c r="N36" s="180"/>
    </row>
    <row r="37" spans="1:18" s="8" customFormat="1" ht="12.75" customHeight="1" x14ac:dyDescent="0.25">
      <c r="A37" s="59">
        <v>227</v>
      </c>
      <c r="B37" s="60" t="s">
        <v>34</v>
      </c>
      <c r="C37" s="51">
        <v>150</v>
      </c>
      <c r="D37" s="35">
        <v>16.86</v>
      </c>
      <c r="E37" s="28">
        <v>6.6666666666666696</v>
      </c>
      <c r="F37" s="28">
        <v>5.8666666666666671</v>
      </c>
      <c r="G37" s="28">
        <v>30.3333333333333</v>
      </c>
      <c r="H37" s="28">
        <v>200.8</v>
      </c>
      <c r="I37" s="216"/>
      <c r="J37" s="216"/>
      <c r="K37" s="180">
        <v>7.86</v>
      </c>
      <c r="L37" s="201">
        <f t="shared" si="1"/>
        <v>1.1450381679389312</v>
      </c>
      <c r="M37" s="180"/>
      <c r="N37" s="180"/>
      <c r="O37" s="11"/>
      <c r="P37" s="11"/>
      <c r="Q37" s="11"/>
      <c r="R37" s="11"/>
    </row>
    <row r="38" spans="1:18" ht="12.75" customHeight="1" x14ac:dyDescent="0.25">
      <c r="A38" s="59">
        <v>227</v>
      </c>
      <c r="B38" s="60" t="s">
        <v>34</v>
      </c>
      <c r="C38" s="51">
        <v>150</v>
      </c>
      <c r="D38" s="19">
        <v>16.86</v>
      </c>
      <c r="E38" s="28">
        <v>6.6666666666666696</v>
      </c>
      <c r="F38" s="28">
        <v>5.8666666666666671</v>
      </c>
      <c r="G38" s="28">
        <v>30.3333333333333</v>
      </c>
      <c r="H38" s="28">
        <v>200.8</v>
      </c>
      <c r="I38" s="216"/>
      <c r="J38" s="216"/>
      <c r="K38" s="180">
        <v>7.86</v>
      </c>
      <c r="L38" s="201">
        <f t="shared" si="1"/>
        <v>1.1450381679389312</v>
      </c>
      <c r="O38" s="8"/>
      <c r="P38" s="8"/>
      <c r="Q38" s="8"/>
      <c r="R38" s="8"/>
    </row>
    <row r="39" spans="1:18" ht="12.75" customHeight="1" x14ac:dyDescent="0.25">
      <c r="A39" s="41">
        <v>227</v>
      </c>
      <c r="B39" s="60" t="s">
        <v>34</v>
      </c>
      <c r="C39" s="51">
        <v>150</v>
      </c>
      <c r="D39" s="19">
        <v>16.86</v>
      </c>
      <c r="E39" s="28">
        <v>6.6666666666666696</v>
      </c>
      <c r="F39" s="28">
        <v>5.8666666666666671</v>
      </c>
      <c r="G39" s="28">
        <v>30.3333333333333</v>
      </c>
      <c r="H39" s="28">
        <v>200.8</v>
      </c>
      <c r="I39" s="216"/>
      <c r="J39" s="216"/>
      <c r="K39" s="180">
        <v>7.86</v>
      </c>
      <c r="L39" s="201">
        <f t="shared" si="1"/>
        <v>1.1450381679389312</v>
      </c>
    </row>
    <row r="40" spans="1:18" ht="12.75" customHeight="1" x14ac:dyDescent="0.25">
      <c r="A40" s="41">
        <v>227</v>
      </c>
      <c r="B40" s="60" t="s">
        <v>132</v>
      </c>
      <c r="C40" s="51">
        <v>150</v>
      </c>
      <c r="D40" s="19">
        <v>16.86</v>
      </c>
      <c r="E40" s="28">
        <v>6.6666666666666696</v>
      </c>
      <c r="F40" s="28">
        <v>5.8666666666666671</v>
      </c>
      <c r="G40" s="28">
        <v>30.3333333333333</v>
      </c>
      <c r="H40" s="28">
        <v>200.8</v>
      </c>
      <c r="I40" s="216"/>
      <c r="J40" s="216"/>
      <c r="K40" s="180">
        <v>7.86</v>
      </c>
      <c r="L40" s="201">
        <f t="shared" si="1"/>
        <v>1.1450381679389312</v>
      </c>
      <c r="O40" s="8"/>
      <c r="P40" s="8"/>
      <c r="Q40" s="8"/>
      <c r="R40" s="8"/>
    </row>
    <row r="41" spans="1:18" ht="15.75" customHeight="1" x14ac:dyDescent="0.25">
      <c r="A41" s="255">
        <v>289</v>
      </c>
      <c r="B41" s="266" t="s">
        <v>137</v>
      </c>
      <c r="C41" s="284">
        <v>100</v>
      </c>
      <c r="D41" s="301">
        <v>13.48</v>
      </c>
      <c r="E41" s="212">
        <v>3.9</v>
      </c>
      <c r="F41" s="212">
        <v>1.5</v>
      </c>
      <c r="G41" s="212">
        <v>37.200000000000003</v>
      </c>
      <c r="H41" s="212">
        <v>177.9</v>
      </c>
      <c r="I41" s="212"/>
      <c r="J41" s="212"/>
      <c r="K41" s="180">
        <v>6.52</v>
      </c>
      <c r="L41" s="201">
        <f t="shared" si="1"/>
        <v>1.0674846625766872</v>
      </c>
    </row>
    <row r="42" spans="1:18" ht="15.75" x14ac:dyDescent="0.25">
      <c r="A42" s="252">
        <v>289</v>
      </c>
      <c r="B42" s="280" t="s">
        <v>137</v>
      </c>
      <c r="C42" s="289">
        <v>100</v>
      </c>
      <c r="D42" s="242">
        <f>13.48-1.41</f>
        <v>12.07</v>
      </c>
      <c r="E42" s="212">
        <v>3.9</v>
      </c>
      <c r="F42" s="212">
        <v>1.5</v>
      </c>
      <c r="G42" s="212">
        <v>37.200000000000003</v>
      </c>
      <c r="H42" s="212">
        <v>177.9</v>
      </c>
      <c r="I42" s="212"/>
      <c r="J42" s="212"/>
      <c r="K42" s="180">
        <v>6.52</v>
      </c>
      <c r="L42" s="201">
        <f t="shared" si="1"/>
        <v>0.85122699386503076</v>
      </c>
    </row>
    <row r="43" spans="1:18" ht="15.75" x14ac:dyDescent="0.25">
      <c r="A43" s="59">
        <v>289</v>
      </c>
      <c r="B43" s="13" t="s">
        <v>137</v>
      </c>
      <c r="C43" s="46">
        <v>50</v>
      </c>
      <c r="D43" s="193">
        <f>D29/2+0.95</f>
        <v>7.0049999999999999</v>
      </c>
      <c r="E43" s="4">
        <v>3.9</v>
      </c>
      <c r="F43" s="4">
        <v>1.5</v>
      </c>
      <c r="G43" s="4">
        <v>11.570000000000004</v>
      </c>
      <c r="H43" s="4">
        <v>75.38</v>
      </c>
      <c r="I43" s="212"/>
      <c r="J43" s="212"/>
      <c r="K43" s="180">
        <f>K29/2</f>
        <v>2.1549999999999998</v>
      </c>
      <c r="L43" s="201">
        <f t="shared" si="1"/>
        <v>2.2505800464037127</v>
      </c>
    </row>
    <row r="44" spans="1:18" ht="12.75" customHeight="1" x14ac:dyDescent="0.25">
      <c r="A44" s="147" t="s">
        <v>36</v>
      </c>
      <c r="B44" s="23" t="s">
        <v>199</v>
      </c>
      <c r="C44" s="53">
        <v>10</v>
      </c>
      <c r="D44" s="19">
        <v>4.09</v>
      </c>
      <c r="E44" s="61">
        <v>1.7999999999999998</v>
      </c>
      <c r="F44" s="61">
        <v>0.3</v>
      </c>
      <c r="G44" s="61">
        <v>5.7</v>
      </c>
      <c r="H44" s="61">
        <v>39</v>
      </c>
      <c r="I44" s="222"/>
      <c r="J44" s="222"/>
      <c r="K44" s="180">
        <v>1.86</v>
      </c>
      <c r="L44" s="201">
        <f t="shared" si="1"/>
        <v>1.1989247311827955</v>
      </c>
      <c r="O44" s="8"/>
      <c r="P44" s="8"/>
      <c r="Q44" s="8"/>
      <c r="R44" s="8"/>
    </row>
    <row r="45" spans="1:18" ht="12.75" customHeight="1" x14ac:dyDescent="0.25">
      <c r="A45" s="44" t="s">
        <v>39</v>
      </c>
      <c r="B45" s="23" t="s">
        <v>21</v>
      </c>
      <c r="C45" s="53">
        <v>30</v>
      </c>
      <c r="D45" s="19">
        <f>416*0.03</f>
        <v>12.48</v>
      </c>
      <c r="E45" s="61">
        <v>0.6</v>
      </c>
      <c r="F45" s="61">
        <v>0.1</v>
      </c>
      <c r="G45" s="61">
        <v>1.9</v>
      </c>
      <c r="H45" s="61">
        <v>13</v>
      </c>
      <c r="I45" s="222"/>
      <c r="J45" s="222"/>
      <c r="K45" s="180">
        <f>260*0.03</f>
        <v>7.8</v>
      </c>
      <c r="L45" s="201">
        <f t="shared" si="1"/>
        <v>0.60000000000000009</v>
      </c>
    </row>
    <row r="46" spans="1:18" ht="12.75" customHeight="1" x14ac:dyDescent="0.25">
      <c r="A46" s="100">
        <v>234</v>
      </c>
      <c r="B46" s="2" t="s">
        <v>23</v>
      </c>
      <c r="C46" s="51">
        <v>100</v>
      </c>
      <c r="D46" s="19">
        <f>50.55-6.99</f>
        <v>43.559999999999995</v>
      </c>
      <c r="E46" s="28">
        <v>4.22</v>
      </c>
      <c r="F46" s="28">
        <v>12.93</v>
      </c>
      <c r="G46" s="28">
        <v>8</v>
      </c>
      <c r="H46" s="28">
        <v>152.32</v>
      </c>
      <c r="I46" s="216"/>
      <c r="J46" s="216"/>
      <c r="K46" s="180">
        <v>25.48</v>
      </c>
      <c r="L46" s="201">
        <f t="shared" si="1"/>
        <v>0.70957613814756648</v>
      </c>
    </row>
    <row r="47" spans="1:18" ht="15.75" x14ac:dyDescent="0.25">
      <c r="A47" s="41">
        <v>258</v>
      </c>
      <c r="B47" s="4" t="s">
        <v>187</v>
      </c>
      <c r="C47" s="46">
        <v>120</v>
      </c>
      <c r="D47" s="37">
        <f>33.51-0.25</f>
        <v>33.26</v>
      </c>
      <c r="E47" s="15">
        <v>4.7199999999999989</v>
      </c>
      <c r="F47" s="15">
        <v>9.9599999999999991</v>
      </c>
      <c r="G47" s="15">
        <v>41.6</v>
      </c>
      <c r="H47" s="15">
        <v>272.82000000000005</v>
      </c>
      <c r="I47" s="211"/>
      <c r="J47" s="211"/>
      <c r="K47" s="180">
        <v>20.03</v>
      </c>
      <c r="L47" s="201">
        <f t="shared" si="1"/>
        <v>0.66050923614578116</v>
      </c>
    </row>
    <row r="48" spans="1:18" ht="15.75" x14ac:dyDescent="0.25">
      <c r="A48" s="59">
        <v>158</v>
      </c>
      <c r="B48" s="263" t="s">
        <v>162</v>
      </c>
      <c r="C48" s="282">
        <v>220</v>
      </c>
      <c r="D48" s="242">
        <v>52</v>
      </c>
      <c r="E48" s="220">
        <v>10.35</v>
      </c>
      <c r="F48" s="214">
        <v>13.643333333333333</v>
      </c>
      <c r="G48" s="214">
        <v>31.78</v>
      </c>
      <c r="H48" s="221">
        <v>282.28000000000003</v>
      </c>
      <c r="I48" s="221"/>
      <c r="J48" s="221"/>
      <c r="K48" s="180">
        <v>21.077999999999999</v>
      </c>
      <c r="L48" s="201">
        <f t="shared" si="1"/>
        <v>1.4670272321852167</v>
      </c>
    </row>
    <row r="49" spans="1:18" ht="15.75" x14ac:dyDescent="0.25">
      <c r="A49" s="41" t="s">
        <v>36</v>
      </c>
      <c r="B49" s="13" t="s">
        <v>201</v>
      </c>
      <c r="C49" s="240">
        <v>120</v>
      </c>
      <c r="D49" s="37">
        <v>19.71</v>
      </c>
      <c r="E49" s="17">
        <v>1.82</v>
      </c>
      <c r="F49" s="17">
        <v>0.4</v>
      </c>
      <c r="G49" s="17">
        <v>1.64</v>
      </c>
      <c r="H49" s="17">
        <v>17.5</v>
      </c>
      <c r="I49" s="212"/>
      <c r="J49" s="212"/>
      <c r="K49" s="180">
        <f>K18/100*75</f>
        <v>10.1175</v>
      </c>
      <c r="L49" s="201">
        <f t="shared" si="1"/>
        <v>0.94810971089696094</v>
      </c>
    </row>
    <row r="50" spans="1:18" ht="12.75" customHeight="1" x14ac:dyDescent="0.25">
      <c r="A50" s="59">
        <v>65</v>
      </c>
      <c r="B50" s="18" t="s">
        <v>30</v>
      </c>
      <c r="C50" s="51">
        <v>220</v>
      </c>
      <c r="D50" s="37">
        <f>17.59/200*220</f>
        <v>19.349</v>
      </c>
      <c r="E50" s="184">
        <v>6.7160000000000002</v>
      </c>
      <c r="F50" s="184">
        <v>11.178000000000001</v>
      </c>
      <c r="G50" s="184">
        <v>25.576000000000001</v>
      </c>
      <c r="H50" s="12">
        <v>190.44</v>
      </c>
      <c r="I50" s="215"/>
      <c r="J50" s="215"/>
      <c r="K50" s="11">
        <f>9.74/200*220</f>
        <v>10.714</v>
      </c>
      <c r="L50" s="201">
        <f t="shared" si="1"/>
        <v>0.80595482546201236</v>
      </c>
    </row>
    <row r="51" spans="1:18" s="8" customFormat="1" ht="12.75" customHeight="1" x14ac:dyDescent="0.25">
      <c r="A51" s="59">
        <v>65</v>
      </c>
      <c r="B51" s="18" t="s">
        <v>30</v>
      </c>
      <c r="C51" s="51">
        <v>200</v>
      </c>
      <c r="D51" s="37">
        <v>17.59</v>
      </c>
      <c r="E51" s="12">
        <v>6.7160000000000002</v>
      </c>
      <c r="F51" s="12">
        <v>6.8080000000000007</v>
      </c>
      <c r="G51" s="12">
        <v>25.576000000000001</v>
      </c>
      <c r="H51" s="12">
        <v>190.44</v>
      </c>
      <c r="I51" s="215"/>
      <c r="J51" s="215"/>
      <c r="K51" s="180">
        <v>9.74</v>
      </c>
      <c r="L51" s="201">
        <f t="shared" si="1"/>
        <v>0.80595482546201236</v>
      </c>
      <c r="M51" s="180"/>
      <c r="N51" s="180"/>
      <c r="O51" s="11"/>
      <c r="P51" s="11"/>
      <c r="Q51" s="11"/>
      <c r="R51" s="11"/>
    </row>
    <row r="52" spans="1:18" s="8" customFormat="1" ht="12.75" customHeight="1" x14ac:dyDescent="0.25">
      <c r="A52" s="44" t="s">
        <v>170</v>
      </c>
      <c r="B52" s="189" t="s">
        <v>171</v>
      </c>
      <c r="C52" s="190">
        <v>150</v>
      </c>
      <c r="D52" s="193">
        <v>13.62</v>
      </c>
      <c r="E52" s="17">
        <v>5.910000000000001</v>
      </c>
      <c r="F52" s="17">
        <v>8.16</v>
      </c>
      <c r="G52" s="17">
        <v>25.21</v>
      </c>
      <c r="H52" s="17">
        <v>197.92</v>
      </c>
      <c r="I52" s="214"/>
      <c r="J52" s="214"/>
      <c r="K52" s="180">
        <v>6.19</v>
      </c>
      <c r="L52" s="201">
        <f t="shared" si="1"/>
        <v>1.2003231017770597</v>
      </c>
      <c r="M52" s="180"/>
      <c r="N52" s="180"/>
    </row>
    <row r="53" spans="1:18" ht="12.75" customHeight="1" x14ac:dyDescent="0.25">
      <c r="A53" s="147">
        <v>227</v>
      </c>
      <c r="B53" s="4" t="s">
        <v>190</v>
      </c>
      <c r="C53" s="236">
        <v>150</v>
      </c>
      <c r="D53" s="19">
        <v>16.86</v>
      </c>
      <c r="E53" s="17">
        <v>5.5066666666666695</v>
      </c>
      <c r="F53" s="17">
        <v>5.8666666666666671</v>
      </c>
      <c r="G53" s="17">
        <v>25.3333333333333</v>
      </c>
      <c r="H53" s="17">
        <v>180.8</v>
      </c>
      <c r="I53" s="214"/>
      <c r="J53" s="214"/>
      <c r="K53" s="180">
        <v>7.86</v>
      </c>
      <c r="L53" s="201">
        <f t="shared" si="1"/>
        <v>1.1450381679389312</v>
      </c>
      <c r="O53" s="8"/>
      <c r="P53" s="8"/>
      <c r="Q53" s="8"/>
      <c r="R53" s="8"/>
    </row>
    <row r="54" spans="1:18" ht="12.75" customHeight="1" x14ac:dyDescent="0.25">
      <c r="A54" s="41">
        <v>289</v>
      </c>
      <c r="B54" s="13" t="s">
        <v>211</v>
      </c>
      <c r="C54" s="52">
        <v>60</v>
      </c>
      <c r="D54" s="37">
        <f>14.33+0.44</f>
        <v>14.77</v>
      </c>
      <c r="E54" s="17">
        <v>3.444</v>
      </c>
      <c r="F54" s="17">
        <v>0.08</v>
      </c>
      <c r="G54" s="17">
        <v>17.317999999999998</v>
      </c>
      <c r="H54" s="17">
        <v>82.83</v>
      </c>
      <c r="I54" s="214"/>
      <c r="J54" s="214"/>
      <c r="K54" s="11">
        <f>3.26/50*60</f>
        <v>3.9119999999999995</v>
      </c>
      <c r="L54" s="201">
        <f t="shared" si="1"/>
        <v>2.7755623721881393</v>
      </c>
      <c r="M54" s="11"/>
      <c r="N54" s="11"/>
    </row>
    <row r="55" spans="1:18" ht="12.75" customHeight="1" x14ac:dyDescent="0.2">
      <c r="A55" s="70" t="s">
        <v>57</v>
      </c>
      <c r="B55" s="1" t="s">
        <v>189</v>
      </c>
      <c r="C55" s="67">
        <v>200</v>
      </c>
      <c r="D55" s="66">
        <v>11.41</v>
      </c>
      <c r="E55" s="66">
        <v>5.92</v>
      </c>
      <c r="F55" s="66">
        <v>6</v>
      </c>
      <c r="G55" s="66">
        <v>19.84</v>
      </c>
      <c r="H55" s="66">
        <v>156.64000000000001</v>
      </c>
      <c r="I55" s="228"/>
      <c r="J55" s="228"/>
      <c r="K55" s="180">
        <v>6.35</v>
      </c>
      <c r="L55" s="201">
        <f t="shared" si="1"/>
        <v>0.79685039370078758</v>
      </c>
    </row>
    <row r="56" spans="1:18" ht="15.75" x14ac:dyDescent="0.2">
      <c r="A56" s="70" t="s">
        <v>57</v>
      </c>
      <c r="B56" s="1" t="s">
        <v>189</v>
      </c>
      <c r="C56" s="67">
        <v>250</v>
      </c>
      <c r="D56" s="66">
        <v>14.262500000000001</v>
      </c>
      <c r="E56" s="66">
        <v>7.3999999999999995</v>
      </c>
      <c r="F56" s="66">
        <v>7.5</v>
      </c>
      <c r="G56" s="66">
        <v>24.8</v>
      </c>
      <c r="H56" s="68">
        <v>195.8</v>
      </c>
      <c r="I56" s="229"/>
      <c r="J56" s="229"/>
      <c r="K56" s="180">
        <v>7.9375</v>
      </c>
      <c r="L56" s="201">
        <v>0.79685039370078758</v>
      </c>
      <c r="M56" s="11"/>
      <c r="N56" s="11"/>
    </row>
    <row r="57" spans="1:18" ht="15.75" customHeight="1" x14ac:dyDescent="0.25">
      <c r="A57" s="255">
        <v>55</v>
      </c>
      <c r="B57" s="270" t="s">
        <v>191</v>
      </c>
      <c r="C57" s="290">
        <v>230</v>
      </c>
      <c r="D57" s="305">
        <v>19.77</v>
      </c>
      <c r="E57" s="215">
        <v>8.25</v>
      </c>
      <c r="F57" s="215">
        <v>9.6999999999999993</v>
      </c>
      <c r="G57" s="215">
        <v>31.8</v>
      </c>
      <c r="H57" s="215">
        <v>247.5</v>
      </c>
      <c r="I57" s="215"/>
      <c r="J57" s="215"/>
      <c r="K57" s="180">
        <v>5.94</v>
      </c>
      <c r="L57" s="201">
        <f t="shared" ref="L57:L78" si="2">D57/K57-1</f>
        <v>2.3282828282828278</v>
      </c>
    </row>
    <row r="58" spans="1:18" ht="15.75" x14ac:dyDescent="0.25">
      <c r="A58" s="252">
        <v>55</v>
      </c>
      <c r="B58" s="279" t="s">
        <v>191</v>
      </c>
      <c r="C58" s="298">
        <v>230</v>
      </c>
      <c r="D58" s="213">
        <v>19.77</v>
      </c>
      <c r="E58" s="215">
        <v>8.25</v>
      </c>
      <c r="F58" s="215">
        <v>9.6999999999999993</v>
      </c>
      <c r="G58" s="215">
        <v>31.8</v>
      </c>
      <c r="H58" s="215">
        <v>247.5</v>
      </c>
      <c r="I58" s="215"/>
      <c r="J58" s="215"/>
      <c r="K58" s="180">
        <v>5.94</v>
      </c>
      <c r="L58" s="201">
        <f t="shared" si="2"/>
        <v>2.3282828282828278</v>
      </c>
    </row>
    <row r="59" spans="1:18" s="8" customFormat="1" ht="15.75" x14ac:dyDescent="0.25">
      <c r="A59" s="41">
        <v>56</v>
      </c>
      <c r="B59" s="1" t="s">
        <v>169</v>
      </c>
      <c r="C59" s="27">
        <v>220</v>
      </c>
      <c r="D59" s="19">
        <v>16.82</v>
      </c>
      <c r="E59" s="24">
        <v>6.4</v>
      </c>
      <c r="F59" s="24">
        <v>8</v>
      </c>
      <c r="G59" s="24">
        <v>30.7</v>
      </c>
      <c r="H59" s="24">
        <v>220.4</v>
      </c>
      <c r="I59" s="225"/>
      <c r="J59" s="225"/>
      <c r="K59" s="180">
        <v>8.8699999999999992</v>
      </c>
      <c r="L59" s="201">
        <f t="shared" si="2"/>
        <v>0.89627959413754255</v>
      </c>
      <c r="M59" s="180"/>
      <c r="N59" s="180"/>
      <c r="O59" s="11"/>
      <c r="P59" s="11"/>
      <c r="Q59" s="11"/>
      <c r="R59" s="11"/>
    </row>
    <row r="60" spans="1:18" ht="12.75" customHeight="1" x14ac:dyDescent="0.25">
      <c r="A60" s="41">
        <v>241</v>
      </c>
      <c r="B60" s="25" t="s">
        <v>194</v>
      </c>
      <c r="C60" s="46">
        <v>110</v>
      </c>
      <c r="D60" s="68">
        <f>48.24+0.91</f>
        <v>49.15</v>
      </c>
      <c r="E60" s="78">
        <v>9.2200000000000006</v>
      </c>
      <c r="F60" s="78">
        <v>13.82</v>
      </c>
      <c r="G60" s="78">
        <v>7.629999999999999</v>
      </c>
      <c r="H60" s="78">
        <v>189.9</v>
      </c>
      <c r="I60" s="218"/>
      <c r="J60" s="218"/>
      <c r="K60" s="180">
        <v>24.27</v>
      </c>
      <c r="L60" s="201">
        <f t="shared" si="2"/>
        <v>1.0251339101771735</v>
      </c>
      <c r="O60" s="8"/>
      <c r="P60" s="8"/>
      <c r="Q60" s="8"/>
      <c r="R60" s="8"/>
    </row>
    <row r="61" spans="1:18" ht="12.75" customHeight="1" x14ac:dyDescent="0.25">
      <c r="A61" s="41">
        <v>110</v>
      </c>
      <c r="B61" s="60" t="s">
        <v>173</v>
      </c>
      <c r="C61" s="51">
        <v>90</v>
      </c>
      <c r="D61" s="19">
        <v>34.369999999999997</v>
      </c>
      <c r="E61" s="28">
        <v>9.0299999999999994</v>
      </c>
      <c r="F61" s="28">
        <v>8.73</v>
      </c>
      <c r="G61" s="28">
        <v>18.7</v>
      </c>
      <c r="H61" s="28">
        <v>188.34</v>
      </c>
      <c r="I61" s="216"/>
      <c r="J61" s="216"/>
      <c r="K61" s="180">
        <v>13.35</v>
      </c>
      <c r="L61" s="201">
        <f t="shared" si="2"/>
        <v>1.5745318352059923</v>
      </c>
    </row>
    <row r="62" spans="1:18" ht="12.75" customHeight="1" x14ac:dyDescent="0.25">
      <c r="A62" s="41">
        <v>97</v>
      </c>
      <c r="B62" s="1" t="s">
        <v>185</v>
      </c>
      <c r="C62" s="236">
        <v>90</v>
      </c>
      <c r="D62" s="19">
        <v>44.66</v>
      </c>
      <c r="E62" s="14">
        <v>7.3199999999999994</v>
      </c>
      <c r="F62" s="14">
        <v>8.24</v>
      </c>
      <c r="G62" s="14">
        <v>9.1499999999999986</v>
      </c>
      <c r="H62" s="14">
        <v>140.04</v>
      </c>
      <c r="I62" s="219"/>
      <c r="J62" s="219"/>
      <c r="K62" s="180">
        <v>22.33</v>
      </c>
      <c r="L62" s="201">
        <f t="shared" si="2"/>
        <v>1</v>
      </c>
    </row>
    <row r="63" spans="1:18" ht="15.75" x14ac:dyDescent="0.25">
      <c r="A63" s="41">
        <v>110</v>
      </c>
      <c r="B63" s="1" t="s">
        <v>186</v>
      </c>
      <c r="C63" s="236">
        <v>90</v>
      </c>
      <c r="D63" s="19">
        <v>48.76</v>
      </c>
      <c r="E63" s="28">
        <v>5.8</v>
      </c>
      <c r="F63" s="28">
        <v>7.8100000000000005</v>
      </c>
      <c r="G63" s="28">
        <v>7.7299999999999969</v>
      </c>
      <c r="H63" s="28">
        <v>125.30999999999999</v>
      </c>
      <c r="I63" s="216"/>
      <c r="J63" s="216"/>
      <c r="K63" s="180">
        <v>20.2</v>
      </c>
      <c r="L63" s="201">
        <f t="shared" si="2"/>
        <v>1.4138613861386138</v>
      </c>
    </row>
    <row r="64" spans="1:18" ht="15.75" x14ac:dyDescent="0.25">
      <c r="A64" s="59">
        <v>107</v>
      </c>
      <c r="B64" s="263" t="s">
        <v>81</v>
      </c>
      <c r="C64" s="285">
        <v>100</v>
      </c>
      <c r="D64" s="213">
        <f>33.3+3.33</f>
        <v>36.629999999999995</v>
      </c>
      <c r="E64" s="226">
        <v>7.39</v>
      </c>
      <c r="F64" s="226">
        <v>7.5499999999999989</v>
      </c>
      <c r="G64" s="226">
        <v>18</v>
      </c>
      <c r="H64" s="226">
        <v>170.01</v>
      </c>
      <c r="I64" s="226"/>
      <c r="J64" s="226"/>
      <c r="K64" s="180">
        <v>15.46</v>
      </c>
      <c r="L64" s="201">
        <f t="shared" si="2"/>
        <v>1.3693402328589905</v>
      </c>
      <c r="O64" s="8"/>
      <c r="P64" s="8"/>
      <c r="Q64" s="8"/>
      <c r="R64" s="8"/>
    </row>
    <row r="65" spans="1:18" ht="15.75" x14ac:dyDescent="0.25">
      <c r="A65" s="41" t="s">
        <v>36</v>
      </c>
      <c r="B65" s="4" t="s">
        <v>33</v>
      </c>
      <c r="C65" s="191">
        <v>60</v>
      </c>
      <c r="D65" s="193">
        <f>12.48+1.85</f>
        <v>14.33</v>
      </c>
      <c r="E65" s="17">
        <v>2.1840000000000002</v>
      </c>
      <c r="F65" s="17">
        <v>0.48</v>
      </c>
      <c r="G65" s="17">
        <v>1.9679999999999997</v>
      </c>
      <c r="H65" s="17">
        <v>21</v>
      </c>
      <c r="I65" s="214"/>
      <c r="J65" s="214"/>
      <c r="K65" s="180">
        <f>D65/1.6</f>
        <v>8.9562499999999989</v>
      </c>
      <c r="L65" s="201">
        <f t="shared" si="2"/>
        <v>0.60000000000000009</v>
      </c>
      <c r="Q65" s="11">
        <f>208*0.06</f>
        <v>12.48</v>
      </c>
    </row>
    <row r="66" spans="1:18" s="8" customFormat="1" ht="12.75" customHeight="1" x14ac:dyDescent="0.25">
      <c r="A66" s="41" t="s">
        <v>36</v>
      </c>
      <c r="B66" s="4" t="s">
        <v>33</v>
      </c>
      <c r="C66" s="52">
        <v>80</v>
      </c>
      <c r="D66" s="37">
        <f>16+3.7</f>
        <v>19.7</v>
      </c>
      <c r="E66" s="15">
        <v>3.64</v>
      </c>
      <c r="F66" s="15">
        <v>0.8</v>
      </c>
      <c r="G66" s="15">
        <v>3.28</v>
      </c>
      <c r="H66" s="15">
        <v>35</v>
      </c>
      <c r="I66" s="211"/>
      <c r="J66" s="211"/>
      <c r="K66" s="180">
        <f>D66/1.6</f>
        <v>12.312499999999998</v>
      </c>
      <c r="L66" s="201">
        <f t="shared" si="2"/>
        <v>0.60000000000000009</v>
      </c>
      <c r="M66" s="180">
        <f>200*0.08</f>
        <v>16</v>
      </c>
      <c r="N66" s="180"/>
      <c r="O66" s="11"/>
      <c r="P66" s="11"/>
      <c r="Q66" s="11"/>
      <c r="R66" s="11"/>
    </row>
    <row r="67" spans="1:18" s="8" customFormat="1" ht="12.75" customHeight="1" x14ac:dyDescent="0.25">
      <c r="A67" s="44" t="s">
        <v>37</v>
      </c>
      <c r="B67" s="189" t="s">
        <v>0</v>
      </c>
      <c r="C67" s="192">
        <v>40</v>
      </c>
      <c r="D67" s="35">
        <v>7.24</v>
      </c>
      <c r="E67" s="4">
        <v>2.37</v>
      </c>
      <c r="F67" s="4">
        <v>0.3</v>
      </c>
      <c r="G67" s="4">
        <v>14.49</v>
      </c>
      <c r="H67" s="4">
        <v>70.14</v>
      </c>
      <c r="I67" s="212"/>
      <c r="J67" s="212"/>
      <c r="K67" s="180">
        <v>4.4000000000000004</v>
      </c>
      <c r="L67" s="201">
        <f t="shared" si="2"/>
        <v>0.64545454545454528</v>
      </c>
      <c r="M67" s="180"/>
      <c r="N67" s="180"/>
      <c r="O67" s="11"/>
      <c r="P67" s="11"/>
      <c r="Q67" s="11"/>
      <c r="R67" s="11"/>
    </row>
    <row r="68" spans="1:18" ht="12.75" customHeight="1" x14ac:dyDescent="0.25">
      <c r="A68" s="44" t="s">
        <v>37</v>
      </c>
      <c r="B68" s="4" t="s">
        <v>0</v>
      </c>
      <c r="C68" s="46">
        <v>60</v>
      </c>
      <c r="D68" s="19">
        <f>D53/40*60</f>
        <v>25.29</v>
      </c>
      <c r="E68" s="4">
        <v>2.37</v>
      </c>
      <c r="F68" s="4">
        <v>0.3</v>
      </c>
      <c r="G68" s="4">
        <v>14.49</v>
      </c>
      <c r="H68" s="4">
        <v>70.14</v>
      </c>
      <c r="I68" s="212"/>
      <c r="J68" s="212"/>
      <c r="K68" s="180">
        <f>K53/40*60</f>
        <v>11.790000000000001</v>
      </c>
      <c r="L68" s="201">
        <f t="shared" si="2"/>
        <v>1.1450381679389312</v>
      </c>
    </row>
    <row r="69" spans="1:18" ht="12.75" customHeight="1" x14ac:dyDescent="0.25">
      <c r="A69" s="44" t="s">
        <v>37</v>
      </c>
      <c r="B69" s="4" t="s">
        <v>0</v>
      </c>
      <c r="C69" s="46">
        <v>50</v>
      </c>
      <c r="D69" s="19">
        <f>D39/40*50</f>
        <v>21.074999999999999</v>
      </c>
      <c r="E69" s="4">
        <v>2.37</v>
      </c>
      <c r="F69" s="4">
        <v>0.3</v>
      </c>
      <c r="G69" s="4">
        <v>14.49</v>
      </c>
      <c r="H69" s="4">
        <v>70.14</v>
      </c>
      <c r="I69" s="212"/>
      <c r="J69" s="212"/>
      <c r="K69" s="180">
        <f>K53/60*50</f>
        <v>6.5500000000000007</v>
      </c>
      <c r="L69" s="201">
        <f t="shared" si="2"/>
        <v>2.2175572519083966</v>
      </c>
    </row>
    <row r="70" spans="1:18" ht="12.75" customHeight="1" x14ac:dyDescent="0.25">
      <c r="A70" s="44" t="s">
        <v>38</v>
      </c>
      <c r="B70" s="4" t="s">
        <v>5</v>
      </c>
      <c r="C70" s="46">
        <v>30</v>
      </c>
      <c r="D70" s="37">
        <v>2.92</v>
      </c>
      <c r="E70" s="2">
        <v>1.98</v>
      </c>
      <c r="F70" s="47">
        <v>0.36</v>
      </c>
      <c r="G70" s="2">
        <v>10.02</v>
      </c>
      <c r="H70" s="2">
        <v>51.24</v>
      </c>
      <c r="I70" s="217"/>
      <c r="J70" s="217"/>
      <c r="K70" s="180">
        <v>1.83</v>
      </c>
      <c r="L70" s="201">
        <f t="shared" si="2"/>
        <v>0.59562841530054644</v>
      </c>
    </row>
    <row r="71" spans="1:18" ht="15.75" x14ac:dyDescent="0.25">
      <c r="A71" s="44" t="s">
        <v>38</v>
      </c>
      <c r="B71" s="4" t="s">
        <v>5</v>
      </c>
      <c r="C71" s="46">
        <v>30</v>
      </c>
      <c r="D71" s="37">
        <v>2.92</v>
      </c>
      <c r="E71" s="2">
        <v>1.98</v>
      </c>
      <c r="F71" s="47">
        <v>0.36</v>
      </c>
      <c r="G71" s="2">
        <v>10.02</v>
      </c>
      <c r="H71" s="2">
        <v>51.24</v>
      </c>
      <c r="I71" s="217"/>
      <c r="J71" s="217"/>
      <c r="K71" s="180">
        <v>1.83</v>
      </c>
      <c r="L71" s="201">
        <f t="shared" si="2"/>
        <v>0.59562841530054644</v>
      </c>
      <c r="O71" s="8"/>
      <c r="P71" s="8"/>
      <c r="Q71" s="8"/>
      <c r="R71" s="8"/>
    </row>
    <row r="72" spans="1:18" ht="15.75" customHeight="1" x14ac:dyDescent="0.25">
      <c r="A72" s="254" t="s">
        <v>38</v>
      </c>
      <c r="B72" s="265" t="s">
        <v>5</v>
      </c>
      <c r="C72" s="284">
        <v>40</v>
      </c>
      <c r="D72" s="301">
        <v>3.89</v>
      </c>
      <c r="E72" s="217">
        <v>1.98</v>
      </c>
      <c r="F72" s="309">
        <v>0.36</v>
      </c>
      <c r="G72" s="217">
        <v>10.02</v>
      </c>
      <c r="H72" s="217">
        <v>51.24</v>
      </c>
      <c r="I72" s="217"/>
      <c r="J72" s="217"/>
      <c r="K72" s="180">
        <f>K56/30*40</f>
        <v>10.583333333333334</v>
      </c>
      <c r="L72" s="201">
        <f t="shared" si="2"/>
        <v>-0.63244094488188973</v>
      </c>
    </row>
    <row r="73" spans="1:18" ht="15.75" x14ac:dyDescent="0.25">
      <c r="A73" s="260" t="s">
        <v>38</v>
      </c>
      <c r="B73" s="276" t="s">
        <v>5</v>
      </c>
      <c r="C73" s="289">
        <v>40</v>
      </c>
      <c r="D73" s="242">
        <f>2.92/30*40</f>
        <v>3.8933333333333331</v>
      </c>
      <c r="E73" s="217">
        <v>1.98</v>
      </c>
      <c r="F73" s="309">
        <v>0.36</v>
      </c>
      <c r="G73" s="217">
        <v>10.02</v>
      </c>
      <c r="H73" s="217">
        <v>51.24</v>
      </c>
      <c r="I73" s="217"/>
      <c r="J73" s="217"/>
      <c r="K73" s="180">
        <f>1.83/30*40</f>
        <v>2.4400000000000004</v>
      </c>
      <c r="L73" s="201">
        <f t="shared" si="2"/>
        <v>0.595628415300546</v>
      </c>
    </row>
    <row r="74" spans="1:18" ht="15.75" x14ac:dyDescent="0.25">
      <c r="A74" s="44" t="s">
        <v>38</v>
      </c>
      <c r="B74" s="4" t="s">
        <v>5</v>
      </c>
      <c r="C74" s="46">
        <v>30</v>
      </c>
      <c r="D74" s="37">
        <v>2.92</v>
      </c>
      <c r="E74" s="2">
        <v>1.98</v>
      </c>
      <c r="F74" s="47">
        <v>0.36</v>
      </c>
      <c r="G74" s="2">
        <v>10.02</v>
      </c>
      <c r="H74" s="2">
        <v>51.24</v>
      </c>
      <c r="I74" s="217"/>
      <c r="J74" s="217"/>
      <c r="K74" s="180">
        <v>1.83</v>
      </c>
      <c r="L74" s="201">
        <f t="shared" si="2"/>
        <v>0.59562841530054644</v>
      </c>
    </row>
    <row r="75" spans="1:18" ht="12.75" customHeight="1" x14ac:dyDescent="0.25">
      <c r="A75" s="44" t="s">
        <v>38</v>
      </c>
      <c r="B75" s="30" t="s">
        <v>5</v>
      </c>
      <c r="C75" s="46">
        <v>30</v>
      </c>
      <c r="D75" s="37">
        <v>2.92</v>
      </c>
      <c r="E75" s="2">
        <v>3.3000000000000003</v>
      </c>
      <c r="F75" s="2">
        <v>0.6</v>
      </c>
      <c r="G75" s="2">
        <v>16.7</v>
      </c>
      <c r="H75" s="2">
        <v>85.399999999999991</v>
      </c>
      <c r="I75" s="217"/>
      <c r="J75" s="217"/>
      <c r="K75" s="180">
        <v>1.83</v>
      </c>
      <c r="L75" s="201">
        <f t="shared" si="2"/>
        <v>0.59562841530054644</v>
      </c>
    </row>
    <row r="76" spans="1:18" ht="12.75" customHeight="1" x14ac:dyDescent="0.25">
      <c r="A76" s="44" t="s">
        <v>38</v>
      </c>
      <c r="B76" s="4" t="s">
        <v>5</v>
      </c>
      <c r="C76" s="46">
        <v>30</v>
      </c>
      <c r="D76" s="37">
        <v>2.92</v>
      </c>
      <c r="E76" s="2">
        <v>1.98</v>
      </c>
      <c r="F76" s="47">
        <v>0.36</v>
      </c>
      <c r="G76" s="2">
        <v>10.02</v>
      </c>
      <c r="H76" s="2">
        <v>51.24</v>
      </c>
      <c r="I76" s="217"/>
      <c r="J76" s="217"/>
      <c r="K76" s="180">
        <v>1.83</v>
      </c>
      <c r="L76" s="201">
        <f t="shared" si="2"/>
        <v>0.59562841530054644</v>
      </c>
    </row>
    <row r="77" spans="1:18" ht="12.75" customHeight="1" x14ac:dyDescent="0.25">
      <c r="A77" s="44" t="s">
        <v>38</v>
      </c>
      <c r="B77" s="4" t="s">
        <v>5</v>
      </c>
      <c r="C77" s="46">
        <v>30</v>
      </c>
      <c r="D77" s="37">
        <v>2.92</v>
      </c>
      <c r="E77" s="2">
        <v>1.98</v>
      </c>
      <c r="F77" s="47">
        <v>0.36</v>
      </c>
      <c r="G77" s="2">
        <v>10.02</v>
      </c>
      <c r="H77" s="2">
        <v>51.24</v>
      </c>
      <c r="I77" s="217"/>
      <c r="J77" s="217"/>
      <c r="K77" s="180">
        <v>1.83</v>
      </c>
      <c r="L77" s="201">
        <f t="shared" si="2"/>
        <v>0.59562841530054644</v>
      </c>
    </row>
    <row r="78" spans="1:18" ht="15.75" x14ac:dyDescent="0.25">
      <c r="A78" s="44" t="s">
        <v>38</v>
      </c>
      <c r="B78" s="4" t="s">
        <v>5</v>
      </c>
      <c r="C78" s="46">
        <v>60</v>
      </c>
      <c r="D78" s="37">
        <v>5.84</v>
      </c>
      <c r="E78" s="2">
        <v>3.3000000000000003</v>
      </c>
      <c r="F78" s="47">
        <v>0.6</v>
      </c>
      <c r="G78" s="2">
        <v>16.7</v>
      </c>
      <c r="H78" s="2">
        <v>85.399999999999991</v>
      </c>
      <c r="I78" s="217"/>
      <c r="J78" s="217"/>
      <c r="K78" s="11">
        <f>K62*2</f>
        <v>44.66</v>
      </c>
      <c r="L78" s="201">
        <f t="shared" si="2"/>
        <v>-0.86923421406180024</v>
      </c>
      <c r="M78" s="11"/>
      <c r="N78" s="11"/>
    </row>
    <row r="79" spans="1:18" ht="15.75" x14ac:dyDescent="0.25">
      <c r="A79" s="137" t="s">
        <v>38</v>
      </c>
      <c r="B79" s="278" t="s">
        <v>5</v>
      </c>
      <c r="C79" s="295">
        <v>30</v>
      </c>
      <c r="D79" s="242">
        <v>2.92</v>
      </c>
      <c r="E79" s="217">
        <v>1.98</v>
      </c>
      <c r="F79" s="309">
        <v>0.36</v>
      </c>
      <c r="G79" s="217">
        <v>10.02</v>
      </c>
      <c r="H79" s="217">
        <v>51.24</v>
      </c>
      <c r="I79" s="217"/>
      <c r="J79" s="217"/>
      <c r="K79" s="180">
        <v>1.83</v>
      </c>
      <c r="L79" s="201">
        <v>0.59562841530054644</v>
      </c>
      <c r="M79" s="11"/>
      <c r="N79" s="11"/>
    </row>
    <row r="80" spans="1:18" ht="15.75" x14ac:dyDescent="0.25">
      <c r="A80" s="100">
        <v>300</v>
      </c>
      <c r="B80" s="23" t="s">
        <v>26</v>
      </c>
      <c r="C80" s="57">
        <v>200</v>
      </c>
      <c r="D80" s="19">
        <v>4.03</v>
      </c>
      <c r="E80" s="4">
        <v>0.1</v>
      </c>
      <c r="F80" s="4">
        <v>0</v>
      </c>
      <c r="G80" s="4">
        <v>20.2</v>
      </c>
      <c r="H80" s="4">
        <v>81.2</v>
      </c>
      <c r="I80" s="212"/>
      <c r="J80" s="212"/>
      <c r="K80" s="180">
        <v>2.65</v>
      </c>
      <c r="L80" s="201">
        <f t="shared" ref="L80:L92" si="3">D80/K80-1</f>
        <v>0.52075471698113218</v>
      </c>
    </row>
    <row r="81" spans="1:18" s="8" customFormat="1" ht="12.75" customHeight="1" x14ac:dyDescent="0.25">
      <c r="A81" s="41">
        <v>300</v>
      </c>
      <c r="B81" s="23" t="s">
        <v>26</v>
      </c>
      <c r="C81" s="46">
        <v>200</v>
      </c>
      <c r="D81" s="19">
        <v>4.03</v>
      </c>
      <c r="E81" s="4">
        <v>0.1</v>
      </c>
      <c r="F81" s="4">
        <v>0</v>
      </c>
      <c r="G81" s="4">
        <v>20.2</v>
      </c>
      <c r="H81" s="4">
        <v>81.2</v>
      </c>
      <c r="I81" s="212"/>
      <c r="J81" s="212"/>
      <c r="K81" s="180">
        <v>2.65</v>
      </c>
      <c r="L81" s="201">
        <f t="shared" si="3"/>
        <v>0.52075471698113218</v>
      </c>
      <c r="M81" s="180"/>
      <c r="N81" s="180"/>
      <c r="O81" s="11"/>
      <c r="P81" s="11"/>
      <c r="Q81" s="11"/>
      <c r="R81" s="11"/>
    </row>
    <row r="82" spans="1:18" s="8" customFormat="1" ht="12.75" customHeight="1" x14ac:dyDescent="0.25">
      <c r="A82" s="59">
        <v>300</v>
      </c>
      <c r="B82" s="23" t="s">
        <v>26</v>
      </c>
      <c r="C82" s="51">
        <v>200</v>
      </c>
      <c r="D82" s="19">
        <v>4.03</v>
      </c>
      <c r="E82" s="4">
        <v>0.1</v>
      </c>
      <c r="F82" s="4">
        <v>0</v>
      </c>
      <c r="G82" s="4">
        <v>20.2</v>
      </c>
      <c r="H82" s="4">
        <v>81.2</v>
      </c>
      <c r="I82" s="212"/>
      <c r="J82" s="212"/>
      <c r="K82" s="180">
        <v>2.65</v>
      </c>
      <c r="L82" s="201">
        <f t="shared" si="3"/>
        <v>0.52075471698113218</v>
      </c>
      <c r="M82" s="180"/>
      <c r="N82" s="180"/>
    </row>
    <row r="83" spans="1:18" ht="12.75" customHeight="1" x14ac:dyDescent="0.25">
      <c r="A83" s="41">
        <v>300</v>
      </c>
      <c r="B83" s="23" t="s">
        <v>26</v>
      </c>
      <c r="C83" s="51">
        <v>200</v>
      </c>
      <c r="D83" s="19">
        <v>4.03</v>
      </c>
      <c r="E83" s="4">
        <v>0.1</v>
      </c>
      <c r="F83" s="4">
        <v>0</v>
      </c>
      <c r="G83" s="4">
        <v>20.2</v>
      </c>
      <c r="H83" s="4">
        <v>81.2</v>
      </c>
      <c r="I83" s="212"/>
      <c r="J83" s="212"/>
      <c r="K83" s="180">
        <v>2.65</v>
      </c>
      <c r="L83" s="201">
        <f t="shared" si="3"/>
        <v>0.52075471698113218</v>
      </c>
    </row>
    <row r="84" spans="1:18" ht="12.75" customHeight="1" x14ac:dyDescent="0.25">
      <c r="A84" s="41">
        <v>300</v>
      </c>
      <c r="B84" s="23" t="s">
        <v>26</v>
      </c>
      <c r="C84" s="51">
        <v>200</v>
      </c>
      <c r="D84" s="19">
        <v>4.03</v>
      </c>
      <c r="E84" s="4">
        <v>0.1</v>
      </c>
      <c r="F84" s="4">
        <v>0</v>
      </c>
      <c r="G84" s="4">
        <v>20.2</v>
      </c>
      <c r="H84" s="4">
        <v>81.2</v>
      </c>
      <c r="I84" s="212"/>
      <c r="J84" s="212"/>
      <c r="K84" s="180">
        <v>2.65</v>
      </c>
      <c r="L84" s="201">
        <f t="shared" si="3"/>
        <v>0.52075471698113218</v>
      </c>
      <c r="O84" s="8"/>
      <c r="P84" s="8"/>
      <c r="Q84" s="8"/>
      <c r="R84" s="8"/>
    </row>
    <row r="85" spans="1:18" ht="12.75" customHeight="1" x14ac:dyDescent="0.25">
      <c r="A85" s="41">
        <v>300</v>
      </c>
      <c r="B85" s="23" t="s">
        <v>26</v>
      </c>
      <c r="C85" s="51">
        <v>200</v>
      </c>
      <c r="D85" s="19">
        <v>4.03</v>
      </c>
      <c r="E85" s="4">
        <v>0.1</v>
      </c>
      <c r="F85" s="4">
        <v>0</v>
      </c>
      <c r="G85" s="4">
        <v>20.2</v>
      </c>
      <c r="H85" s="4">
        <v>81.2</v>
      </c>
      <c r="I85" s="212"/>
      <c r="J85" s="212"/>
      <c r="K85" s="180">
        <v>2.65</v>
      </c>
      <c r="L85" s="201">
        <f t="shared" si="3"/>
        <v>0.52075471698113218</v>
      </c>
    </row>
    <row r="86" spans="1:18" ht="15.75" x14ac:dyDescent="0.25">
      <c r="A86" s="41">
        <v>300</v>
      </c>
      <c r="B86" s="23" t="s">
        <v>26</v>
      </c>
      <c r="C86" s="51">
        <v>200</v>
      </c>
      <c r="D86" s="19">
        <v>4.03</v>
      </c>
      <c r="E86" s="4">
        <v>0.1</v>
      </c>
      <c r="F86" s="4">
        <v>0</v>
      </c>
      <c r="G86" s="4">
        <v>20.2</v>
      </c>
      <c r="H86" s="4">
        <v>81.2</v>
      </c>
      <c r="I86" s="212"/>
      <c r="J86" s="212"/>
      <c r="K86" s="180">
        <v>2.65</v>
      </c>
      <c r="L86" s="201">
        <f t="shared" si="3"/>
        <v>0.52075471698113218</v>
      </c>
    </row>
    <row r="87" spans="1:18" ht="15.75" customHeight="1" x14ac:dyDescent="0.25">
      <c r="A87" s="255">
        <v>300</v>
      </c>
      <c r="B87" s="275" t="s">
        <v>26</v>
      </c>
      <c r="C87" s="294">
        <v>200</v>
      </c>
      <c r="D87" s="305">
        <v>4.03</v>
      </c>
      <c r="E87" s="212">
        <v>0.1</v>
      </c>
      <c r="F87" s="212">
        <v>0</v>
      </c>
      <c r="G87" s="212">
        <v>20.2</v>
      </c>
      <c r="H87" s="212">
        <v>81.2</v>
      </c>
      <c r="I87" s="212"/>
      <c r="J87" s="212"/>
      <c r="K87" s="180">
        <v>2.65</v>
      </c>
      <c r="L87" s="201">
        <f t="shared" si="3"/>
        <v>0.52075471698113218</v>
      </c>
    </row>
    <row r="88" spans="1:18" ht="15.75" x14ac:dyDescent="0.25">
      <c r="A88" s="252">
        <v>300</v>
      </c>
      <c r="B88" s="262" t="s">
        <v>26</v>
      </c>
      <c r="C88" s="281">
        <v>200</v>
      </c>
      <c r="D88" s="213">
        <v>4.03</v>
      </c>
      <c r="E88" s="212">
        <v>0.1</v>
      </c>
      <c r="F88" s="212">
        <v>0</v>
      </c>
      <c r="G88" s="212">
        <v>20.2</v>
      </c>
      <c r="H88" s="212">
        <v>81.2</v>
      </c>
      <c r="I88" s="212"/>
      <c r="J88" s="212"/>
      <c r="K88" s="180">
        <v>2.65</v>
      </c>
      <c r="L88" s="201">
        <f t="shared" si="3"/>
        <v>0.52075471698113218</v>
      </c>
    </row>
    <row r="89" spans="1:18" ht="15.75" x14ac:dyDescent="0.25">
      <c r="A89" s="41">
        <v>300</v>
      </c>
      <c r="B89" s="23" t="s">
        <v>26</v>
      </c>
      <c r="C89" s="51">
        <v>200</v>
      </c>
      <c r="D89" s="19">
        <v>4.03</v>
      </c>
      <c r="E89" s="4">
        <v>0.1</v>
      </c>
      <c r="F89" s="4">
        <v>0</v>
      </c>
      <c r="G89" s="4">
        <v>20.2</v>
      </c>
      <c r="H89" s="4">
        <v>81.2</v>
      </c>
      <c r="I89" s="212"/>
      <c r="J89" s="212"/>
      <c r="K89" s="180">
        <v>2.65</v>
      </c>
      <c r="L89" s="201">
        <f t="shared" si="3"/>
        <v>0.52075471698113218</v>
      </c>
    </row>
    <row r="90" spans="1:18" ht="12.75" customHeight="1" x14ac:dyDescent="0.25">
      <c r="A90" s="41">
        <v>300</v>
      </c>
      <c r="B90" s="277" t="s">
        <v>26</v>
      </c>
      <c r="C90" s="57">
        <v>200</v>
      </c>
      <c r="D90" s="35">
        <v>4.03</v>
      </c>
      <c r="E90" s="4">
        <v>0.1</v>
      </c>
      <c r="F90" s="4">
        <v>0</v>
      </c>
      <c r="G90" s="4">
        <v>20.2</v>
      </c>
      <c r="H90" s="4">
        <v>81.2</v>
      </c>
      <c r="I90" s="212"/>
      <c r="J90" s="212"/>
      <c r="K90" s="180">
        <v>2.65</v>
      </c>
      <c r="L90" s="201">
        <f t="shared" si="3"/>
        <v>0.52075471698113218</v>
      </c>
    </row>
    <row r="91" spans="1:18" ht="12.75" customHeight="1" x14ac:dyDescent="0.25">
      <c r="A91" s="41">
        <v>300</v>
      </c>
      <c r="B91" s="23" t="s">
        <v>26</v>
      </c>
      <c r="C91" s="51">
        <v>200</v>
      </c>
      <c r="D91" s="19">
        <v>4.03</v>
      </c>
      <c r="E91" s="4">
        <v>0.1</v>
      </c>
      <c r="F91" s="4">
        <v>0</v>
      </c>
      <c r="G91" s="4">
        <v>20.2</v>
      </c>
      <c r="H91" s="4">
        <v>81.2</v>
      </c>
      <c r="I91" s="212"/>
      <c r="J91" s="212"/>
      <c r="K91" s="180">
        <v>2.65</v>
      </c>
      <c r="L91" s="201">
        <f t="shared" si="3"/>
        <v>0.52075471698113218</v>
      </c>
      <c r="M91" s="11"/>
      <c r="N91" s="11"/>
    </row>
    <row r="92" spans="1:18" ht="12.75" customHeight="1" x14ac:dyDescent="0.25">
      <c r="A92" s="41">
        <v>300</v>
      </c>
      <c r="B92" s="23" t="s">
        <v>26</v>
      </c>
      <c r="C92" s="51">
        <v>200</v>
      </c>
      <c r="D92" s="19">
        <v>4.03</v>
      </c>
      <c r="E92" s="4">
        <v>0.1</v>
      </c>
      <c r="F92" s="4">
        <v>0</v>
      </c>
      <c r="G92" s="4">
        <v>20.2</v>
      </c>
      <c r="H92" s="4">
        <v>81.2</v>
      </c>
      <c r="I92" s="212"/>
      <c r="J92" s="212"/>
      <c r="K92" s="180">
        <v>2.65</v>
      </c>
      <c r="L92" s="201">
        <f t="shared" si="3"/>
        <v>0.52075471698113218</v>
      </c>
      <c r="M92" s="11"/>
      <c r="N92" s="11"/>
    </row>
    <row r="93" spans="1:18" ht="15.75" x14ac:dyDescent="0.25">
      <c r="A93" s="41">
        <v>300</v>
      </c>
      <c r="B93" s="23" t="s">
        <v>26</v>
      </c>
      <c r="C93" s="51">
        <v>200</v>
      </c>
      <c r="D93" s="19">
        <v>4.03</v>
      </c>
      <c r="E93" s="4">
        <v>0.1</v>
      </c>
      <c r="F93" s="4">
        <v>0</v>
      </c>
      <c r="G93" s="4">
        <v>20.2</v>
      </c>
      <c r="H93" s="4">
        <v>81.2</v>
      </c>
      <c r="I93" s="212"/>
      <c r="J93" s="212"/>
      <c r="K93" s="180">
        <v>2.65</v>
      </c>
      <c r="L93" s="201">
        <v>1.2188679245283018</v>
      </c>
      <c r="M93" s="11"/>
      <c r="N93" s="11"/>
    </row>
    <row r="94" spans="1:18" ht="15.75" x14ac:dyDescent="0.25">
      <c r="A94" s="59">
        <v>62</v>
      </c>
      <c r="B94" s="272" t="s">
        <v>160</v>
      </c>
      <c r="C94" s="292">
        <v>230</v>
      </c>
      <c r="D94" s="213">
        <f>19.17+1.85</f>
        <v>21.020000000000003</v>
      </c>
      <c r="E94" s="219">
        <v>7.0299999999999994</v>
      </c>
      <c r="F94" s="219">
        <v>9.23</v>
      </c>
      <c r="G94" s="219">
        <v>30.8</v>
      </c>
      <c r="H94" s="212">
        <v>231.72</v>
      </c>
      <c r="I94" s="212"/>
      <c r="J94" s="212"/>
      <c r="K94" s="180">
        <v>10.52</v>
      </c>
      <c r="L94" s="201">
        <f>D94/K94-1</f>
        <v>0.99809885931558973</v>
      </c>
    </row>
    <row r="95" spans="1:18" ht="15.75" x14ac:dyDescent="0.25">
      <c r="A95" s="41" t="s">
        <v>36</v>
      </c>
      <c r="B95" s="13" t="s">
        <v>188</v>
      </c>
      <c r="C95" s="52">
        <v>90</v>
      </c>
      <c r="D95" s="37">
        <f>18+1.85</f>
        <v>19.850000000000001</v>
      </c>
      <c r="E95" s="17">
        <v>2.1840000000000002</v>
      </c>
      <c r="F95" s="17">
        <v>0.48</v>
      </c>
      <c r="G95" s="17">
        <v>1.9679999999999997</v>
      </c>
      <c r="H95" s="17">
        <v>21</v>
      </c>
      <c r="I95" s="214"/>
      <c r="J95" s="214"/>
      <c r="K95" s="180">
        <f>D95/1.6</f>
        <v>12.40625</v>
      </c>
      <c r="L95" s="201">
        <f>D95/K95-1</f>
        <v>0.60000000000000009</v>
      </c>
      <c r="N95" s="180">
        <f>200*0.09</f>
        <v>18</v>
      </c>
      <c r="O95" s="8"/>
      <c r="P95" s="8"/>
      <c r="Q95" s="8"/>
      <c r="R95" s="8"/>
    </row>
    <row r="96" spans="1:18" s="8" customFormat="1" ht="12.75" customHeight="1" x14ac:dyDescent="0.25">
      <c r="A96" s="41" t="s">
        <v>36</v>
      </c>
      <c r="B96" s="13" t="s">
        <v>188</v>
      </c>
      <c r="C96" s="52">
        <v>50</v>
      </c>
      <c r="D96" s="193">
        <v>10</v>
      </c>
      <c r="E96" s="17">
        <v>2.1840000000000002</v>
      </c>
      <c r="F96" s="17">
        <v>0.48</v>
      </c>
      <c r="G96" s="17">
        <v>1.9679999999999997</v>
      </c>
      <c r="H96" s="17">
        <v>21</v>
      </c>
      <c r="I96" s="214"/>
      <c r="J96" s="214"/>
      <c r="K96" s="180">
        <f>D96/1.6</f>
        <v>6.25</v>
      </c>
      <c r="L96" s="201">
        <f>D96/K96-1</f>
        <v>0.60000000000000009</v>
      </c>
      <c r="M96" s="180"/>
      <c r="N96" s="180"/>
      <c r="O96" s="11"/>
      <c r="P96" s="11"/>
      <c r="Q96" s="11"/>
      <c r="R96" s="11"/>
    </row>
    <row r="97" spans="1:14" s="8" customFormat="1" ht="12.75" customHeight="1" x14ac:dyDescent="0.25">
      <c r="A97" s="59"/>
      <c r="B97" s="4" t="s">
        <v>120</v>
      </c>
      <c r="C97" s="46">
        <v>50</v>
      </c>
      <c r="D97" s="37">
        <v>19</v>
      </c>
      <c r="E97" s="15">
        <v>5.12</v>
      </c>
      <c r="F97" s="15">
        <v>4.6399999999999997</v>
      </c>
      <c r="G97" s="15">
        <v>0.27999999999999997</v>
      </c>
      <c r="H97" s="15">
        <v>63.48</v>
      </c>
      <c r="I97" s="211"/>
      <c r="J97" s="211"/>
      <c r="K97" s="180">
        <v>9</v>
      </c>
      <c r="L97" s="201">
        <f>D97/K97-1</f>
        <v>1.1111111111111112</v>
      </c>
      <c r="M97" s="180"/>
      <c r="N97" s="180"/>
    </row>
    <row r="98" spans="1:14" ht="15.75" x14ac:dyDescent="0.2">
      <c r="E98" s="34"/>
      <c r="F98" s="34"/>
      <c r="G98" s="34"/>
      <c r="H98" s="34"/>
      <c r="I98" s="34"/>
      <c r="J98" s="34"/>
      <c r="M98" s="11"/>
      <c r="N98" s="11"/>
    </row>
    <row r="99" spans="1:14" ht="12.75" customHeight="1" x14ac:dyDescent="0.2">
      <c r="E99" s="179"/>
      <c r="F99" s="179"/>
      <c r="G99" s="179"/>
      <c r="H99" s="179"/>
      <c r="I99" s="179"/>
      <c r="J99" s="179"/>
      <c r="M99" s="11"/>
    </row>
  </sheetData>
  <sortState ref="A1:R166">
    <sortCondition ref="B1:B16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opLeftCell="A64" workbookViewId="0">
      <selection activeCell="D69" sqref="D69"/>
    </sheetView>
  </sheetViews>
  <sheetFormatPr defaultRowHeight="12.75" x14ac:dyDescent="0.2"/>
  <cols>
    <col min="2" max="2" width="66.42578125" bestFit="1" customWidth="1"/>
  </cols>
  <sheetData>
    <row r="1" spans="1:16" x14ac:dyDescent="0.2">
      <c r="B1" t="s">
        <v>47</v>
      </c>
      <c r="E1">
        <v>36.389924594429139</v>
      </c>
      <c r="F1">
        <v>38.447494888276694</v>
      </c>
      <c r="G1">
        <v>161.9365232476278</v>
      </c>
      <c r="H1">
        <v>1132.5228786960515</v>
      </c>
    </row>
    <row r="2" spans="1:16" x14ac:dyDescent="0.2">
      <c r="A2" t="s">
        <v>14</v>
      </c>
      <c r="B2" t="s">
        <v>13</v>
      </c>
      <c r="C2" t="s">
        <v>6</v>
      </c>
      <c r="D2" t="s">
        <v>27</v>
      </c>
      <c r="E2" t="s">
        <v>7</v>
      </c>
      <c r="H2" t="s">
        <v>8</v>
      </c>
    </row>
    <row r="3" spans="1:16" x14ac:dyDescent="0.2">
      <c r="A3">
        <v>158</v>
      </c>
      <c r="B3" t="s">
        <v>138</v>
      </c>
      <c r="C3">
        <v>50</v>
      </c>
      <c r="D3">
        <v>19.97</v>
      </c>
      <c r="E3">
        <v>7.04</v>
      </c>
      <c r="F3">
        <v>10.563333333333333</v>
      </c>
      <c r="G3">
        <v>12.470000000000002</v>
      </c>
      <c r="H3">
        <v>168.32</v>
      </c>
      <c r="K3">
        <v>13.8</v>
      </c>
      <c r="L3">
        <v>0.44710144927536222</v>
      </c>
      <c r="P3">
        <v>16.272222222222222</v>
      </c>
    </row>
    <row r="4" spans="1:16" x14ac:dyDescent="0.2">
      <c r="A4">
        <v>136</v>
      </c>
      <c r="B4" t="s">
        <v>168</v>
      </c>
      <c r="C4">
        <v>100</v>
      </c>
      <c r="D4">
        <v>45.05</v>
      </c>
      <c r="E4">
        <v>4.7300000000000004</v>
      </c>
      <c r="F4">
        <v>8.43</v>
      </c>
      <c r="G4">
        <v>4.9000000000000004</v>
      </c>
      <c r="H4">
        <v>112.62</v>
      </c>
      <c r="K4">
        <v>16.09</v>
      </c>
      <c r="L4">
        <v>1.7998756991920444</v>
      </c>
    </row>
    <row r="5" spans="1:16" x14ac:dyDescent="0.2">
      <c r="A5">
        <v>136</v>
      </c>
      <c r="B5" t="s">
        <v>90</v>
      </c>
      <c r="C5">
        <v>90</v>
      </c>
      <c r="D5">
        <v>40.544999999999995</v>
      </c>
      <c r="E5">
        <v>4.7300000000000004</v>
      </c>
      <c r="F5">
        <v>8.43</v>
      </c>
      <c r="G5">
        <v>4.9000000000000004</v>
      </c>
      <c r="H5">
        <v>112.62</v>
      </c>
      <c r="K5">
        <v>16.09</v>
      </c>
      <c r="L5">
        <v>1.5198881292728399</v>
      </c>
    </row>
    <row r="6" spans="1:16" x14ac:dyDescent="0.2">
      <c r="A6">
        <v>208</v>
      </c>
      <c r="B6" t="s">
        <v>130</v>
      </c>
      <c r="C6">
        <v>140</v>
      </c>
      <c r="D6">
        <v>39.72</v>
      </c>
      <c r="E6">
        <v>11.071604938271609</v>
      </c>
      <c r="F6">
        <v>15.104938271604899</v>
      </c>
      <c r="G6">
        <v>28.236913580246899</v>
      </c>
      <c r="H6">
        <v>289.99777777777797</v>
      </c>
      <c r="K6">
        <v>15.99</v>
      </c>
      <c r="L6">
        <v>1.4840525328330205</v>
      </c>
    </row>
    <row r="7" spans="1:16" x14ac:dyDescent="0.2">
      <c r="A7">
        <v>55</v>
      </c>
      <c r="B7" t="s">
        <v>155</v>
      </c>
      <c r="C7">
        <v>250</v>
      </c>
      <c r="D7">
        <v>16.39</v>
      </c>
      <c r="E7">
        <v>8.870000000000001</v>
      </c>
      <c r="F7">
        <v>9.4</v>
      </c>
      <c r="G7">
        <v>32.799999999999997</v>
      </c>
      <c r="H7">
        <v>251.28</v>
      </c>
      <c r="K7">
        <v>6.4859999999999998</v>
      </c>
      <c r="L7">
        <v>1.526981190255936</v>
      </c>
      <c r="P7">
        <v>12.684782608695652</v>
      </c>
    </row>
    <row r="8" spans="1:16" x14ac:dyDescent="0.2">
      <c r="A8">
        <v>55</v>
      </c>
      <c r="B8" t="s">
        <v>155</v>
      </c>
      <c r="C8">
        <v>250</v>
      </c>
      <c r="D8">
        <v>16.39</v>
      </c>
      <c r="E8">
        <v>8.870000000000001</v>
      </c>
      <c r="F8">
        <v>9.4</v>
      </c>
      <c r="G8">
        <v>32.799999999999997</v>
      </c>
      <c r="H8">
        <v>251.28</v>
      </c>
      <c r="K8">
        <v>6.4859999999999998</v>
      </c>
      <c r="L8">
        <v>1.526981190255936</v>
      </c>
    </row>
    <row r="9" spans="1:16" x14ac:dyDescent="0.2">
      <c r="A9">
        <v>96</v>
      </c>
      <c r="B9" t="s">
        <v>207</v>
      </c>
      <c r="C9">
        <v>50</v>
      </c>
      <c r="D9">
        <v>35.349999999999994</v>
      </c>
      <c r="E9">
        <v>8.8000000000000007</v>
      </c>
      <c r="F9">
        <v>6.3</v>
      </c>
      <c r="G9">
        <v>3.1</v>
      </c>
      <c r="H9">
        <v>92.68</v>
      </c>
      <c r="K9">
        <v>24.87</v>
      </c>
      <c r="L9">
        <v>0.4213912344189783</v>
      </c>
      <c r="P9">
        <v>19.638888888888886</v>
      </c>
    </row>
    <row r="10" spans="1:16" x14ac:dyDescent="0.2">
      <c r="A10">
        <v>96</v>
      </c>
      <c r="B10" t="s">
        <v>202</v>
      </c>
      <c r="C10">
        <v>60</v>
      </c>
      <c r="D10">
        <v>31.54</v>
      </c>
      <c r="E10">
        <v>4.7866666666666697</v>
      </c>
      <c r="F10">
        <v>7.5322222222221997</v>
      </c>
      <c r="G10">
        <v>8.4666666666666686</v>
      </c>
      <c r="H10">
        <v>118.1</v>
      </c>
      <c r="K10">
        <v>13.21</v>
      </c>
      <c r="L10">
        <v>1.3875851627554883</v>
      </c>
      <c r="P10">
        <v>21.026666666666667</v>
      </c>
    </row>
    <row r="11" spans="1:16" x14ac:dyDescent="0.2">
      <c r="A11">
        <v>110</v>
      </c>
      <c r="B11" t="s">
        <v>167</v>
      </c>
      <c r="C11">
        <v>60</v>
      </c>
      <c r="D11">
        <v>29.46</v>
      </c>
      <c r="E11">
        <v>8.8000000000000007</v>
      </c>
      <c r="F11">
        <v>6.3</v>
      </c>
      <c r="G11">
        <v>3.1</v>
      </c>
      <c r="H11">
        <v>92.68</v>
      </c>
      <c r="K11">
        <v>19.64</v>
      </c>
      <c r="L11">
        <v>0.5</v>
      </c>
      <c r="M11">
        <v>64.73181818181817</v>
      </c>
      <c r="P11">
        <v>24.233333333333334</v>
      </c>
    </row>
    <row r="12" spans="1:16" x14ac:dyDescent="0.2">
      <c r="A12">
        <v>259</v>
      </c>
      <c r="B12" t="s">
        <v>164</v>
      </c>
      <c r="C12">
        <v>150</v>
      </c>
      <c r="D12">
        <v>51.95</v>
      </c>
      <c r="E12">
        <v>13.62</v>
      </c>
      <c r="F12">
        <v>15.84</v>
      </c>
      <c r="G12">
        <v>45.48</v>
      </c>
      <c r="H12">
        <v>376.76000000000005</v>
      </c>
      <c r="K12">
        <v>46.81</v>
      </c>
      <c r="L12">
        <v>1.028199102755821</v>
      </c>
      <c r="P12">
        <v>51.947727272727271</v>
      </c>
    </row>
    <row r="13" spans="1:16" x14ac:dyDescent="0.2">
      <c r="A13">
        <v>241</v>
      </c>
      <c r="B13" t="s">
        <v>206</v>
      </c>
      <c r="C13">
        <v>100</v>
      </c>
      <c r="D13">
        <v>40.5</v>
      </c>
      <c r="E13">
        <v>9.218264462809902</v>
      </c>
      <c r="F13">
        <v>13.82057851239669</v>
      </c>
      <c r="G13">
        <v>7.630991735537199</v>
      </c>
      <c r="H13">
        <v>189.902231404959</v>
      </c>
      <c r="K13">
        <v>23.95</v>
      </c>
      <c r="L13">
        <v>0.6910229645093946</v>
      </c>
      <c r="P13">
        <v>40.5</v>
      </c>
    </row>
    <row r="14" spans="1:16" x14ac:dyDescent="0.2">
      <c r="A14" t="s">
        <v>36</v>
      </c>
      <c r="B14" t="s">
        <v>161</v>
      </c>
      <c r="C14">
        <v>100</v>
      </c>
      <c r="D14">
        <v>40</v>
      </c>
      <c r="E14">
        <v>1.61</v>
      </c>
      <c r="F14">
        <v>0.115</v>
      </c>
      <c r="G14">
        <v>16.2</v>
      </c>
      <c r="H14">
        <v>73.599999999999994</v>
      </c>
      <c r="K14">
        <v>18.5</v>
      </c>
      <c r="L14">
        <v>1.1621621621621623</v>
      </c>
    </row>
    <row r="15" spans="1:16" x14ac:dyDescent="0.2">
      <c r="A15">
        <v>146</v>
      </c>
      <c r="B15" t="s">
        <v>174</v>
      </c>
      <c r="C15">
        <v>150</v>
      </c>
      <c r="D15">
        <v>22.46</v>
      </c>
      <c r="E15">
        <v>4.75</v>
      </c>
      <c r="F15">
        <v>8.370000000000001</v>
      </c>
      <c r="G15">
        <v>25.06</v>
      </c>
      <c r="H15">
        <v>193.42</v>
      </c>
      <c r="K15">
        <v>13.49</v>
      </c>
      <c r="L15">
        <v>0.66493699036323206</v>
      </c>
      <c r="M15" t="s">
        <v>178</v>
      </c>
    </row>
    <row r="16" spans="1:16" x14ac:dyDescent="0.2">
      <c r="A16">
        <v>227</v>
      </c>
      <c r="B16" t="s">
        <v>58</v>
      </c>
      <c r="C16">
        <v>150</v>
      </c>
      <c r="D16">
        <v>19.25</v>
      </c>
      <c r="E16">
        <v>7.1253333333333337</v>
      </c>
      <c r="F16">
        <v>7.69</v>
      </c>
      <c r="G16">
        <v>24.578000000000003</v>
      </c>
      <c r="H16">
        <v>193.35000000000002</v>
      </c>
      <c r="K16">
        <v>3.96</v>
      </c>
      <c r="L16">
        <v>3.8611111111111107</v>
      </c>
    </row>
    <row r="17" spans="1:23" x14ac:dyDescent="0.2">
      <c r="A17">
        <v>227</v>
      </c>
      <c r="B17" t="s">
        <v>58</v>
      </c>
      <c r="C17">
        <v>150</v>
      </c>
      <c r="D17">
        <v>19.25</v>
      </c>
      <c r="E17">
        <v>7.1253333333333337</v>
      </c>
      <c r="F17">
        <v>7.69</v>
      </c>
      <c r="G17">
        <v>24.578000000000003</v>
      </c>
      <c r="H17">
        <v>193.35000000000002</v>
      </c>
      <c r="K17">
        <v>3.96</v>
      </c>
      <c r="L17">
        <v>3.8611111111111107</v>
      </c>
    </row>
    <row r="18" spans="1:23" x14ac:dyDescent="0.2">
      <c r="A18">
        <v>227</v>
      </c>
      <c r="B18" t="s">
        <v>58</v>
      </c>
      <c r="C18">
        <v>150</v>
      </c>
      <c r="D18">
        <v>19.25</v>
      </c>
      <c r="E18">
        <v>7.1253333333333337</v>
      </c>
      <c r="F18">
        <v>7.69</v>
      </c>
      <c r="G18">
        <v>24.578000000000003</v>
      </c>
      <c r="H18">
        <v>193.35000000000002</v>
      </c>
      <c r="K18">
        <v>3.96</v>
      </c>
      <c r="L18">
        <v>3.8611111111111107</v>
      </c>
    </row>
    <row r="19" spans="1:23" x14ac:dyDescent="0.2">
      <c r="A19">
        <v>227</v>
      </c>
      <c r="B19" t="s">
        <v>58</v>
      </c>
      <c r="C19">
        <v>150</v>
      </c>
      <c r="D19">
        <v>19.25</v>
      </c>
      <c r="E19">
        <v>7.1253333333333337</v>
      </c>
      <c r="F19">
        <v>7.69</v>
      </c>
      <c r="G19">
        <v>24.578000000000003</v>
      </c>
      <c r="H19">
        <v>193.35000000000002</v>
      </c>
      <c r="K19">
        <v>3.96</v>
      </c>
      <c r="L19">
        <v>3.8611111111111107</v>
      </c>
    </row>
    <row r="20" spans="1:23" x14ac:dyDescent="0.2">
      <c r="A20">
        <v>193</v>
      </c>
      <c r="B20" t="s">
        <v>136</v>
      </c>
      <c r="C20">
        <v>250</v>
      </c>
      <c r="D20">
        <v>27.370000000000005</v>
      </c>
      <c r="E20">
        <v>10.821604938271609</v>
      </c>
      <c r="F20">
        <v>15.104938271604899</v>
      </c>
      <c r="G20">
        <v>30.346913580246898</v>
      </c>
      <c r="H20">
        <v>300.52</v>
      </c>
      <c r="K20">
        <v>10.89</v>
      </c>
      <c r="L20">
        <v>1.5133149678604227</v>
      </c>
    </row>
    <row r="21" spans="1:23" x14ac:dyDescent="0.2">
      <c r="A21">
        <v>208</v>
      </c>
      <c r="B21" t="s">
        <v>195</v>
      </c>
      <c r="C21">
        <v>150</v>
      </c>
      <c r="D21">
        <v>19.88</v>
      </c>
      <c r="E21">
        <v>7.0116049382716099</v>
      </c>
      <c r="F21">
        <v>12.9149382716049</v>
      </c>
      <c r="G21">
        <v>32.116913580246894</v>
      </c>
      <c r="H21">
        <v>271.43777777777802</v>
      </c>
      <c r="K21">
        <v>9.7100000000000009</v>
      </c>
      <c r="L21">
        <v>1.0473738414006175</v>
      </c>
    </row>
    <row r="22" spans="1:23" x14ac:dyDescent="0.2">
      <c r="A22">
        <v>300</v>
      </c>
      <c r="B22" t="s">
        <v>29</v>
      </c>
      <c r="C22">
        <v>200</v>
      </c>
      <c r="D22">
        <v>12.11</v>
      </c>
      <c r="E22">
        <v>0.1</v>
      </c>
      <c r="F22">
        <v>0</v>
      </c>
      <c r="G22">
        <v>20.2</v>
      </c>
      <c r="H22">
        <v>81.2</v>
      </c>
      <c r="K22">
        <v>4.3099999999999996</v>
      </c>
      <c r="L22">
        <v>1.8097447795823669</v>
      </c>
    </row>
    <row r="23" spans="1:23" x14ac:dyDescent="0.2">
      <c r="A23" t="s">
        <v>36</v>
      </c>
      <c r="B23" t="s">
        <v>159</v>
      </c>
      <c r="C23">
        <v>40</v>
      </c>
      <c r="D23">
        <v>19.71</v>
      </c>
      <c r="E23">
        <v>1.82</v>
      </c>
      <c r="F23">
        <v>0.4</v>
      </c>
      <c r="G23">
        <v>1.64</v>
      </c>
      <c r="H23">
        <v>17.5</v>
      </c>
      <c r="K23">
        <v>9.2947500000000005</v>
      </c>
      <c r="L23">
        <v>1.1205519244734932</v>
      </c>
    </row>
    <row r="24" spans="1:23" x14ac:dyDescent="0.2">
      <c r="A24">
        <v>136</v>
      </c>
      <c r="B24" t="s">
        <v>153</v>
      </c>
      <c r="C24">
        <v>90</v>
      </c>
      <c r="D24">
        <v>42.97</v>
      </c>
      <c r="E24">
        <v>5.64</v>
      </c>
      <c r="F24">
        <v>5.9500000000000011</v>
      </c>
      <c r="G24">
        <v>13.9</v>
      </c>
      <c r="H24">
        <v>131.71</v>
      </c>
      <c r="K24">
        <v>14.89</v>
      </c>
      <c r="L24">
        <v>1.8858294157152451</v>
      </c>
    </row>
    <row r="25" spans="1:23" x14ac:dyDescent="0.2">
      <c r="A25" t="s">
        <v>36</v>
      </c>
      <c r="B25" t="s">
        <v>118</v>
      </c>
      <c r="C25">
        <v>10</v>
      </c>
      <c r="D25">
        <v>2.87</v>
      </c>
      <c r="E25">
        <v>0.36399999999999999</v>
      </c>
      <c r="F25">
        <v>0.08</v>
      </c>
      <c r="G25">
        <v>0.32799999999999996</v>
      </c>
      <c r="H25">
        <v>3.5</v>
      </c>
      <c r="K25">
        <v>1.79</v>
      </c>
      <c r="L25">
        <v>0.6033519553072626</v>
      </c>
    </row>
    <row r="26" spans="1:23" x14ac:dyDescent="0.2">
      <c r="A26" t="s">
        <v>36</v>
      </c>
      <c r="B26" t="s">
        <v>118</v>
      </c>
      <c r="C26">
        <v>10</v>
      </c>
      <c r="D26">
        <v>2.87</v>
      </c>
      <c r="E26">
        <v>0.36399999999999999</v>
      </c>
      <c r="F26">
        <v>0.08</v>
      </c>
      <c r="G26">
        <v>0.32799999999999996</v>
      </c>
      <c r="H26">
        <v>3.5</v>
      </c>
      <c r="K26">
        <v>1.79</v>
      </c>
      <c r="L26">
        <v>0.6033519553072626</v>
      </c>
    </row>
    <row r="27" spans="1:23" x14ac:dyDescent="0.2">
      <c r="A27" t="s">
        <v>36</v>
      </c>
      <c r="B27" t="s">
        <v>118</v>
      </c>
      <c r="C27">
        <v>10</v>
      </c>
      <c r="D27">
        <v>2.87</v>
      </c>
      <c r="E27">
        <v>0.36399999999999999</v>
      </c>
      <c r="F27">
        <v>0.08</v>
      </c>
      <c r="G27">
        <v>0.32799999999999996</v>
      </c>
      <c r="H27">
        <v>3.5</v>
      </c>
      <c r="K27">
        <v>1.79</v>
      </c>
      <c r="L27">
        <v>0.6033519553072626</v>
      </c>
      <c r="P27" t="s">
        <v>36</v>
      </c>
      <c r="Q27" t="s">
        <v>118</v>
      </c>
      <c r="R27">
        <v>10</v>
      </c>
      <c r="S27">
        <v>2.87</v>
      </c>
      <c r="T27">
        <v>0.36399999999999999</v>
      </c>
      <c r="U27">
        <v>0.08</v>
      </c>
      <c r="V27">
        <v>0.32799999999999996</v>
      </c>
      <c r="W27">
        <v>3.5</v>
      </c>
    </row>
    <row r="28" spans="1:23" x14ac:dyDescent="0.2">
      <c r="A28">
        <v>227</v>
      </c>
      <c r="B28" t="s">
        <v>34</v>
      </c>
      <c r="C28">
        <v>150</v>
      </c>
      <c r="D28">
        <v>16.86</v>
      </c>
      <c r="E28">
        <v>6.6666666666666696</v>
      </c>
      <c r="F28">
        <v>5.8666666666666671</v>
      </c>
      <c r="G28">
        <v>30.3333333333333</v>
      </c>
      <c r="H28">
        <v>200.8</v>
      </c>
      <c r="K28">
        <v>7.86</v>
      </c>
      <c r="L28">
        <v>1.1450381679389312</v>
      </c>
    </row>
    <row r="29" spans="1:23" x14ac:dyDescent="0.2">
      <c r="A29">
        <v>227</v>
      </c>
      <c r="B29" t="s">
        <v>34</v>
      </c>
      <c r="C29">
        <v>150</v>
      </c>
      <c r="D29">
        <v>16.86</v>
      </c>
      <c r="E29">
        <v>6.6666666666666696</v>
      </c>
      <c r="F29">
        <v>5.8666666666666671</v>
      </c>
      <c r="G29">
        <v>30.3333333333333</v>
      </c>
      <c r="H29">
        <v>200.8</v>
      </c>
      <c r="K29">
        <v>7.86</v>
      </c>
      <c r="L29">
        <v>1.1450381679389312</v>
      </c>
    </row>
    <row r="30" spans="1:23" x14ac:dyDescent="0.2">
      <c r="A30">
        <v>227</v>
      </c>
      <c r="B30" t="s">
        <v>34</v>
      </c>
      <c r="C30">
        <v>150</v>
      </c>
      <c r="D30">
        <v>16.86</v>
      </c>
      <c r="E30">
        <v>6.6666666666666696</v>
      </c>
      <c r="F30">
        <v>5.8666666666666671</v>
      </c>
      <c r="G30">
        <v>30.3333333333333</v>
      </c>
      <c r="H30">
        <v>200.8</v>
      </c>
      <c r="K30">
        <v>7.86</v>
      </c>
      <c r="L30">
        <v>1.1450381679389312</v>
      </c>
    </row>
    <row r="31" spans="1:23" x14ac:dyDescent="0.2">
      <c r="A31">
        <v>227</v>
      </c>
      <c r="B31" t="s">
        <v>132</v>
      </c>
      <c r="C31">
        <v>150</v>
      </c>
      <c r="D31">
        <v>16.86</v>
      </c>
      <c r="E31">
        <v>6.6666666666666696</v>
      </c>
      <c r="F31">
        <v>5.8666666666666671</v>
      </c>
      <c r="G31">
        <v>30.3333333333333</v>
      </c>
      <c r="H31">
        <v>200.8</v>
      </c>
      <c r="K31">
        <v>7.86</v>
      </c>
      <c r="L31">
        <v>1.1450381679389312</v>
      </c>
    </row>
    <row r="32" spans="1:23" x14ac:dyDescent="0.2">
      <c r="B32" t="s">
        <v>48</v>
      </c>
    </row>
    <row r="33" spans="1:23" x14ac:dyDescent="0.2">
      <c r="A33" t="s">
        <v>36</v>
      </c>
      <c r="B33" t="s">
        <v>137</v>
      </c>
      <c r="C33">
        <v>100</v>
      </c>
      <c r="D33">
        <v>19.71</v>
      </c>
      <c r="E33">
        <v>1.82</v>
      </c>
      <c r="F33">
        <v>0.4</v>
      </c>
      <c r="G33">
        <v>1.64</v>
      </c>
      <c r="H33">
        <v>17.5</v>
      </c>
    </row>
    <row r="34" spans="1:23" x14ac:dyDescent="0.2">
      <c r="A34">
        <v>289</v>
      </c>
      <c r="B34" t="s">
        <v>137</v>
      </c>
      <c r="C34">
        <v>50</v>
      </c>
      <c r="D34">
        <v>10.805</v>
      </c>
      <c r="E34">
        <v>3.9</v>
      </c>
      <c r="F34">
        <v>1.5</v>
      </c>
      <c r="G34">
        <v>11.570000000000004</v>
      </c>
      <c r="H34">
        <v>75.38</v>
      </c>
      <c r="K34">
        <v>3.26</v>
      </c>
      <c r="L34">
        <v>2.3144171779141107</v>
      </c>
    </row>
    <row r="35" spans="1:23" x14ac:dyDescent="0.2">
      <c r="A35" t="s">
        <v>36</v>
      </c>
      <c r="B35" t="s">
        <v>199</v>
      </c>
      <c r="C35">
        <v>10</v>
      </c>
      <c r="D35">
        <v>4.09</v>
      </c>
      <c r="E35">
        <v>1.7999999999999998</v>
      </c>
      <c r="F35">
        <v>0.3</v>
      </c>
      <c r="G35">
        <v>5.7</v>
      </c>
      <c r="H35">
        <v>39</v>
      </c>
      <c r="K35">
        <v>1.86</v>
      </c>
      <c r="L35">
        <v>1.1989247311827955</v>
      </c>
    </row>
    <row r="36" spans="1:23" x14ac:dyDescent="0.2">
      <c r="A36">
        <v>234</v>
      </c>
      <c r="B36" t="s">
        <v>23</v>
      </c>
      <c r="C36">
        <v>100</v>
      </c>
      <c r="D36">
        <v>43.559999999999995</v>
      </c>
      <c r="E36">
        <v>4.22</v>
      </c>
      <c r="F36">
        <v>12.93</v>
      </c>
      <c r="G36">
        <v>8</v>
      </c>
      <c r="H36">
        <v>152.32</v>
      </c>
      <c r="K36">
        <v>25.48</v>
      </c>
      <c r="L36">
        <v>0.70957613814756648</v>
      </c>
      <c r="P36">
        <v>234</v>
      </c>
      <c r="Q36" t="s">
        <v>23</v>
      </c>
      <c r="R36">
        <v>100</v>
      </c>
      <c r="S36">
        <v>43.559999999999995</v>
      </c>
      <c r="T36">
        <v>4.22</v>
      </c>
      <c r="U36">
        <v>12.93</v>
      </c>
      <c r="V36">
        <v>8</v>
      </c>
      <c r="W36">
        <v>152.32</v>
      </c>
    </row>
    <row r="37" spans="1:23" x14ac:dyDescent="0.2">
      <c r="A37">
        <v>258</v>
      </c>
      <c r="B37" t="s">
        <v>208</v>
      </c>
      <c r="C37">
        <v>100</v>
      </c>
      <c r="D37">
        <v>31.43</v>
      </c>
      <c r="E37">
        <v>4.7199999999999989</v>
      </c>
      <c r="F37">
        <v>9.9599999999999991</v>
      </c>
      <c r="G37">
        <v>41.6</v>
      </c>
      <c r="H37">
        <v>272.82000000000005</v>
      </c>
      <c r="K37">
        <v>20.03</v>
      </c>
      <c r="L37">
        <v>0.56914628057913119</v>
      </c>
    </row>
    <row r="38" spans="1:23" x14ac:dyDescent="0.2">
      <c r="A38">
        <v>158</v>
      </c>
      <c r="B38" t="s">
        <v>162</v>
      </c>
      <c r="C38">
        <v>150</v>
      </c>
      <c r="D38">
        <v>37.660000000000004</v>
      </c>
      <c r="E38">
        <v>10.35</v>
      </c>
      <c r="F38">
        <v>13.643333333333333</v>
      </c>
      <c r="G38">
        <v>31.78</v>
      </c>
      <c r="H38">
        <v>282.28000000000003</v>
      </c>
      <c r="K38">
        <v>21.077999999999999</v>
      </c>
      <c r="L38">
        <v>0.78669703007875524</v>
      </c>
      <c r="P38">
        <v>42.545454545454547</v>
      </c>
    </row>
    <row r="39" spans="1:23" x14ac:dyDescent="0.2">
      <c r="A39" t="s">
        <v>36</v>
      </c>
      <c r="B39" t="s">
        <v>201</v>
      </c>
      <c r="C39">
        <v>150</v>
      </c>
      <c r="D39">
        <v>19.71</v>
      </c>
      <c r="E39">
        <v>1.82</v>
      </c>
      <c r="F39">
        <v>0.4</v>
      </c>
      <c r="G39">
        <v>1.64</v>
      </c>
      <c r="H39">
        <v>17.5</v>
      </c>
      <c r="K39">
        <v>4.8899999999999997</v>
      </c>
      <c r="L39">
        <v>3.0306748466257671</v>
      </c>
      <c r="P39" t="s">
        <v>36</v>
      </c>
      <c r="Q39" t="s">
        <v>200</v>
      </c>
      <c r="R39">
        <v>120</v>
      </c>
      <c r="S39">
        <v>19.71</v>
      </c>
      <c r="T39">
        <v>1.82</v>
      </c>
      <c r="U39">
        <v>0.4</v>
      </c>
      <c r="V39">
        <v>1.64</v>
      </c>
      <c r="W39">
        <v>17.5</v>
      </c>
    </row>
    <row r="40" spans="1:23" x14ac:dyDescent="0.2">
      <c r="A40" t="s">
        <v>36</v>
      </c>
      <c r="B40" t="s">
        <v>201</v>
      </c>
      <c r="C40">
        <v>150</v>
      </c>
      <c r="D40">
        <v>19.71</v>
      </c>
      <c r="E40">
        <v>1.82</v>
      </c>
      <c r="F40">
        <v>0.4</v>
      </c>
      <c r="G40">
        <v>1.64</v>
      </c>
      <c r="H40">
        <v>17.5</v>
      </c>
      <c r="K40">
        <v>6.52</v>
      </c>
      <c r="L40">
        <v>2.0230061349693256</v>
      </c>
    </row>
    <row r="41" spans="1:23" x14ac:dyDescent="0.2">
      <c r="A41" t="s">
        <v>36</v>
      </c>
      <c r="B41" t="s">
        <v>201</v>
      </c>
      <c r="C41">
        <v>150</v>
      </c>
      <c r="D41">
        <v>19.71</v>
      </c>
      <c r="E41">
        <v>1.82</v>
      </c>
      <c r="F41">
        <v>0.4</v>
      </c>
      <c r="G41">
        <v>1.64</v>
      </c>
      <c r="H41">
        <v>17.5</v>
      </c>
      <c r="K41">
        <v>10.327500000000001</v>
      </c>
      <c r="L41">
        <v>0.90849673202614367</v>
      </c>
    </row>
    <row r="42" spans="1:23" x14ac:dyDescent="0.2">
      <c r="A42">
        <v>65</v>
      </c>
      <c r="B42" t="s">
        <v>30</v>
      </c>
      <c r="C42">
        <v>250</v>
      </c>
      <c r="D42">
        <v>19.349</v>
      </c>
      <c r="E42">
        <v>6.7160000000000002</v>
      </c>
      <c r="F42">
        <v>11.178000000000001</v>
      </c>
      <c r="G42">
        <v>25.576000000000001</v>
      </c>
      <c r="H42">
        <v>190.44</v>
      </c>
      <c r="K42">
        <v>10.714</v>
      </c>
      <c r="L42">
        <v>0.80595482546201236</v>
      </c>
    </row>
    <row r="43" spans="1:23" x14ac:dyDescent="0.2">
      <c r="A43">
        <v>65</v>
      </c>
      <c r="B43" t="s">
        <v>30</v>
      </c>
      <c r="C43">
        <v>240</v>
      </c>
      <c r="D43">
        <v>21.4</v>
      </c>
      <c r="E43">
        <v>6.7160000000000002</v>
      </c>
      <c r="F43">
        <v>6.8080000000000007</v>
      </c>
      <c r="G43">
        <v>25.576000000000001</v>
      </c>
      <c r="H43">
        <v>190.44</v>
      </c>
      <c r="K43">
        <v>9.74</v>
      </c>
      <c r="L43">
        <v>1.1971252566735111</v>
      </c>
    </row>
    <row r="44" spans="1:23" x14ac:dyDescent="0.2">
      <c r="A44" t="s">
        <v>170</v>
      </c>
      <c r="B44" t="s">
        <v>171</v>
      </c>
      <c r="C44">
        <v>150</v>
      </c>
      <c r="D44">
        <v>13.62</v>
      </c>
      <c r="E44">
        <v>5.910000000000001</v>
      </c>
      <c r="F44">
        <v>8.16</v>
      </c>
      <c r="G44">
        <v>25.21</v>
      </c>
      <c r="H44">
        <v>197.92</v>
      </c>
      <c r="K44">
        <v>6.19</v>
      </c>
      <c r="L44">
        <v>1.2003231017770597</v>
      </c>
    </row>
    <row r="45" spans="1:23" x14ac:dyDescent="0.2">
      <c r="A45">
        <v>227</v>
      </c>
      <c r="B45" t="s">
        <v>190</v>
      </c>
      <c r="C45">
        <v>150</v>
      </c>
      <c r="D45">
        <v>16.86</v>
      </c>
      <c r="E45">
        <v>5.5066666666666695</v>
      </c>
      <c r="F45">
        <v>5.8666666666666671</v>
      </c>
      <c r="G45">
        <v>25.3333333333333</v>
      </c>
      <c r="H45">
        <v>180.8</v>
      </c>
      <c r="K45">
        <v>7.86</v>
      </c>
      <c r="L45">
        <v>1.1450381679389312</v>
      </c>
      <c r="P45">
        <v>20.231999999999999</v>
      </c>
    </row>
    <row r="46" spans="1:23" x14ac:dyDescent="0.2">
      <c r="A46">
        <v>289</v>
      </c>
      <c r="B46" t="s">
        <v>211</v>
      </c>
      <c r="C46">
        <v>60</v>
      </c>
      <c r="D46">
        <v>11.07</v>
      </c>
      <c r="E46">
        <v>3.444</v>
      </c>
      <c r="F46">
        <v>0.08</v>
      </c>
      <c r="G46">
        <v>17.317999999999998</v>
      </c>
      <c r="H46">
        <v>82.83</v>
      </c>
      <c r="K46">
        <v>3.9119999999999995</v>
      </c>
      <c r="L46">
        <v>1.8297546012269943</v>
      </c>
    </row>
    <row r="47" spans="1:23" x14ac:dyDescent="0.2">
      <c r="A47">
        <v>289</v>
      </c>
      <c r="B47" t="s">
        <v>196</v>
      </c>
      <c r="C47">
        <v>200</v>
      </c>
      <c r="D47">
        <v>30</v>
      </c>
      <c r="E47">
        <v>3.9</v>
      </c>
      <c r="F47">
        <v>1.5</v>
      </c>
      <c r="G47">
        <v>37.200000000000003</v>
      </c>
      <c r="H47">
        <v>177.9</v>
      </c>
      <c r="K47">
        <v>6.52</v>
      </c>
      <c r="L47">
        <v>3.6012269938650308</v>
      </c>
    </row>
    <row r="48" spans="1:23" x14ac:dyDescent="0.2">
      <c r="B48" t="s">
        <v>205</v>
      </c>
      <c r="C48">
        <v>50</v>
      </c>
      <c r="D48">
        <v>13.82</v>
      </c>
    </row>
    <row r="49" spans="1:23" x14ac:dyDescent="0.2">
      <c r="B49" t="s">
        <v>205</v>
      </c>
      <c r="C49">
        <v>50</v>
      </c>
      <c r="D49">
        <v>13.82</v>
      </c>
    </row>
    <row r="50" spans="1:23" x14ac:dyDescent="0.2">
      <c r="A50" t="s">
        <v>57</v>
      </c>
      <c r="B50" t="s">
        <v>189</v>
      </c>
      <c r="C50">
        <v>200</v>
      </c>
      <c r="D50">
        <v>11.41</v>
      </c>
      <c r="E50">
        <v>5.92</v>
      </c>
      <c r="F50">
        <v>6</v>
      </c>
      <c r="G50">
        <v>19.84</v>
      </c>
      <c r="H50">
        <v>156.64000000000001</v>
      </c>
      <c r="K50">
        <v>6.35</v>
      </c>
      <c r="L50">
        <v>0.79685039370078758</v>
      </c>
    </row>
    <row r="51" spans="1:23" x14ac:dyDescent="0.2">
      <c r="A51" t="s">
        <v>57</v>
      </c>
      <c r="B51" t="s">
        <v>189</v>
      </c>
      <c r="C51">
        <v>250</v>
      </c>
      <c r="D51">
        <v>14.262500000000001</v>
      </c>
      <c r="E51">
        <v>7.3999999999999995</v>
      </c>
      <c r="F51">
        <v>7.5</v>
      </c>
      <c r="G51">
        <v>24.8</v>
      </c>
      <c r="H51">
        <v>195.8</v>
      </c>
      <c r="K51">
        <v>7.9375</v>
      </c>
      <c r="L51">
        <v>0.79685039370078758</v>
      </c>
    </row>
    <row r="52" spans="1:23" x14ac:dyDescent="0.2">
      <c r="A52">
        <v>55</v>
      </c>
      <c r="B52" t="s">
        <v>191</v>
      </c>
      <c r="C52">
        <v>230</v>
      </c>
      <c r="D52">
        <v>19.77</v>
      </c>
      <c r="E52">
        <v>8.25</v>
      </c>
      <c r="F52">
        <v>9.6999999999999993</v>
      </c>
      <c r="G52">
        <v>31.8</v>
      </c>
      <c r="H52">
        <v>247.5</v>
      </c>
      <c r="K52">
        <v>5.94</v>
      </c>
      <c r="L52">
        <v>2.3282828282828278</v>
      </c>
    </row>
    <row r="53" spans="1:23" x14ac:dyDescent="0.2">
      <c r="A53">
        <v>55</v>
      </c>
      <c r="B53" t="s">
        <v>191</v>
      </c>
      <c r="C53">
        <v>230</v>
      </c>
      <c r="D53">
        <v>19.77</v>
      </c>
      <c r="E53">
        <v>8.25</v>
      </c>
      <c r="F53">
        <v>9.6999999999999993</v>
      </c>
      <c r="G53">
        <v>31.8</v>
      </c>
      <c r="H53">
        <v>247.5</v>
      </c>
      <c r="K53">
        <v>5.94</v>
      </c>
      <c r="L53">
        <v>2.3282828282828278</v>
      </c>
    </row>
    <row r="54" spans="1:23" x14ac:dyDescent="0.2">
      <c r="A54">
        <v>56</v>
      </c>
      <c r="B54" t="s">
        <v>169</v>
      </c>
      <c r="C54">
        <v>230</v>
      </c>
      <c r="D54">
        <v>16.82</v>
      </c>
      <c r="E54">
        <v>6.4</v>
      </c>
      <c r="F54">
        <v>8</v>
      </c>
      <c r="G54">
        <v>30.7</v>
      </c>
      <c r="H54">
        <v>220.4</v>
      </c>
      <c r="K54">
        <v>8.8699999999999992</v>
      </c>
      <c r="L54">
        <v>0.89627959413754255</v>
      </c>
    </row>
    <row r="55" spans="1:23" x14ac:dyDescent="0.2">
      <c r="A55">
        <v>241</v>
      </c>
      <c r="B55" t="s">
        <v>197</v>
      </c>
      <c r="C55">
        <v>105</v>
      </c>
      <c r="D55">
        <v>45</v>
      </c>
      <c r="E55">
        <v>9.2200000000000006</v>
      </c>
      <c r="F55">
        <v>13.82</v>
      </c>
      <c r="G55">
        <v>7.629999999999999</v>
      </c>
      <c r="H55">
        <v>189.9</v>
      </c>
      <c r="K55">
        <v>24.27</v>
      </c>
      <c r="L55">
        <v>0.85414091470951803</v>
      </c>
      <c r="P55">
        <v>46.915909090909089</v>
      </c>
    </row>
    <row r="56" spans="1:23" x14ac:dyDescent="0.2">
      <c r="A56">
        <v>110</v>
      </c>
      <c r="B56" t="s">
        <v>173</v>
      </c>
      <c r="C56">
        <v>90</v>
      </c>
      <c r="D56">
        <v>34.369999999999997</v>
      </c>
      <c r="E56">
        <v>9.0299999999999994</v>
      </c>
      <c r="F56">
        <v>8.73</v>
      </c>
      <c r="G56">
        <v>18.7</v>
      </c>
      <c r="H56">
        <v>188.34</v>
      </c>
      <c r="K56">
        <v>13.35</v>
      </c>
      <c r="L56">
        <v>1.5745318352059923</v>
      </c>
    </row>
    <row r="57" spans="1:23" x14ac:dyDescent="0.2">
      <c r="A57">
        <v>97</v>
      </c>
      <c r="B57" t="s">
        <v>198</v>
      </c>
      <c r="C57">
        <v>50</v>
      </c>
      <c r="D57">
        <v>21.68</v>
      </c>
      <c r="E57">
        <v>7.3199999999999994</v>
      </c>
      <c r="F57">
        <v>8.24</v>
      </c>
      <c r="G57">
        <v>9.1499999999999986</v>
      </c>
      <c r="H57">
        <v>140.04</v>
      </c>
      <c r="K57">
        <v>22.33</v>
      </c>
      <c r="L57">
        <v>-2.9108822212270402E-2</v>
      </c>
      <c r="P57">
        <v>15.485714285714286</v>
      </c>
    </row>
    <row r="58" spans="1:23" x14ac:dyDescent="0.2">
      <c r="A58">
        <v>110</v>
      </c>
      <c r="B58" t="s">
        <v>186</v>
      </c>
      <c r="C58">
        <v>90</v>
      </c>
      <c r="D58">
        <v>48.76</v>
      </c>
      <c r="E58">
        <v>5.8</v>
      </c>
      <c r="F58">
        <v>7.8100000000000005</v>
      </c>
      <c r="G58">
        <v>7.7299999999999969</v>
      </c>
      <c r="H58">
        <v>125.30999999999999</v>
      </c>
      <c r="K58">
        <v>20.2</v>
      </c>
      <c r="L58">
        <v>1.4138613861386138</v>
      </c>
    </row>
    <row r="59" spans="1:23" x14ac:dyDescent="0.2">
      <c r="A59">
        <v>107</v>
      </c>
      <c r="B59" t="s">
        <v>204</v>
      </c>
      <c r="C59">
        <v>60</v>
      </c>
      <c r="D59">
        <v>27</v>
      </c>
      <c r="E59">
        <v>7.39</v>
      </c>
      <c r="F59">
        <v>7.5499999999999989</v>
      </c>
      <c r="G59">
        <v>18</v>
      </c>
      <c r="H59">
        <v>170.01</v>
      </c>
      <c r="K59">
        <v>15.46</v>
      </c>
      <c r="L59">
        <v>0.74644243208279426</v>
      </c>
      <c r="Q59">
        <v>27</v>
      </c>
    </row>
    <row r="60" spans="1:23" x14ac:dyDescent="0.2">
      <c r="A60" t="s">
        <v>36</v>
      </c>
      <c r="B60" t="s">
        <v>33</v>
      </c>
      <c r="C60">
        <v>50</v>
      </c>
      <c r="D60">
        <v>10.4</v>
      </c>
      <c r="E60">
        <v>4.009500000000001</v>
      </c>
      <c r="F60">
        <v>0.89100000000000013</v>
      </c>
      <c r="G60">
        <v>3.6135000000000006</v>
      </c>
      <c r="H60">
        <v>38.510999999999996</v>
      </c>
    </row>
    <row r="61" spans="1:23" x14ac:dyDescent="0.2">
      <c r="A61" t="s">
        <v>37</v>
      </c>
      <c r="B61" t="s">
        <v>0</v>
      </c>
      <c r="C61">
        <v>40</v>
      </c>
      <c r="D61">
        <v>7.24</v>
      </c>
      <c r="E61">
        <v>2.37</v>
      </c>
      <c r="F61">
        <v>0.3</v>
      </c>
      <c r="G61">
        <v>14.49</v>
      </c>
      <c r="H61">
        <v>70.14</v>
      </c>
    </row>
    <row r="62" spans="1:23" x14ac:dyDescent="0.2">
      <c r="A62" t="s">
        <v>37</v>
      </c>
      <c r="B62" t="s">
        <v>0</v>
      </c>
      <c r="C62">
        <v>40</v>
      </c>
      <c r="D62">
        <v>7.24</v>
      </c>
      <c r="E62">
        <v>2.37</v>
      </c>
      <c r="F62">
        <v>0.3</v>
      </c>
      <c r="G62">
        <v>14.49</v>
      </c>
      <c r="H62">
        <v>70.14</v>
      </c>
      <c r="K62">
        <v>4.4000000000000004</v>
      </c>
      <c r="L62">
        <v>0.64545454545454528</v>
      </c>
      <c r="P62" t="s">
        <v>37</v>
      </c>
      <c r="Q62" t="s">
        <v>0</v>
      </c>
      <c r="R62">
        <v>40</v>
      </c>
      <c r="S62">
        <v>7.24</v>
      </c>
      <c r="T62">
        <v>2.37</v>
      </c>
      <c r="U62">
        <v>0.3</v>
      </c>
      <c r="V62">
        <v>14.49</v>
      </c>
      <c r="W62">
        <v>70.14</v>
      </c>
    </row>
    <row r="63" spans="1:23" x14ac:dyDescent="0.2">
      <c r="A63" t="s">
        <v>37</v>
      </c>
      <c r="B63" t="s">
        <v>0</v>
      </c>
      <c r="C63">
        <v>60</v>
      </c>
      <c r="D63">
        <v>10.86</v>
      </c>
      <c r="E63">
        <v>2.37</v>
      </c>
      <c r="F63">
        <v>0.3</v>
      </c>
      <c r="G63">
        <v>14.49</v>
      </c>
      <c r="H63">
        <v>70.14</v>
      </c>
      <c r="K63">
        <v>6.6000000000000005</v>
      </c>
      <c r="L63">
        <v>0.64545454545454528</v>
      </c>
    </row>
    <row r="64" spans="1:23" x14ac:dyDescent="0.2">
      <c r="A64" t="s">
        <v>37</v>
      </c>
      <c r="B64" t="s">
        <v>0</v>
      </c>
      <c r="C64">
        <v>50</v>
      </c>
      <c r="D64">
        <v>9.0499999999999989</v>
      </c>
      <c r="E64">
        <v>2.37</v>
      </c>
      <c r="F64">
        <v>0.3</v>
      </c>
      <c r="G64">
        <v>14.49</v>
      </c>
      <c r="H64">
        <v>70.14</v>
      </c>
      <c r="K64">
        <v>5.5000000000000009</v>
      </c>
      <c r="L64">
        <v>0.64545454545454506</v>
      </c>
    </row>
    <row r="65" spans="1:16" x14ac:dyDescent="0.2">
      <c r="A65" t="s">
        <v>37</v>
      </c>
      <c r="B65" t="s">
        <v>0</v>
      </c>
      <c r="C65">
        <v>40</v>
      </c>
      <c r="D65">
        <v>2.9374999999999996</v>
      </c>
      <c r="E65">
        <v>2.37</v>
      </c>
      <c r="F65">
        <v>0.3</v>
      </c>
      <c r="G65">
        <v>14.49</v>
      </c>
      <c r="H65">
        <v>70.14</v>
      </c>
    </row>
    <row r="66" spans="1:16" x14ac:dyDescent="0.2">
      <c r="A66" t="s">
        <v>38</v>
      </c>
      <c r="B66" t="s">
        <v>5</v>
      </c>
      <c r="C66">
        <v>30</v>
      </c>
      <c r="D66">
        <v>2.92</v>
      </c>
      <c r="E66">
        <v>1.98</v>
      </c>
      <c r="F66">
        <v>0.36</v>
      </c>
      <c r="G66">
        <v>10.02</v>
      </c>
      <c r="H66">
        <v>51.24</v>
      </c>
      <c r="K66">
        <v>1.83</v>
      </c>
      <c r="L66">
        <v>0.59562841530054644</v>
      </c>
    </row>
    <row r="67" spans="1:16" x14ac:dyDescent="0.2">
      <c r="A67" t="s">
        <v>38</v>
      </c>
      <c r="B67" t="s">
        <v>5</v>
      </c>
      <c r="C67">
        <v>50</v>
      </c>
      <c r="D67">
        <v>4.8600000000000003</v>
      </c>
      <c r="E67">
        <v>1.98</v>
      </c>
      <c r="F67">
        <v>0.36</v>
      </c>
      <c r="G67">
        <v>10.02</v>
      </c>
      <c r="H67">
        <v>51.24</v>
      </c>
      <c r="K67">
        <v>1.83</v>
      </c>
      <c r="L67">
        <v>1.6557377049180331</v>
      </c>
      <c r="P67">
        <v>4.8666666666666663</v>
      </c>
    </row>
    <row r="68" spans="1:16" x14ac:dyDescent="0.2">
      <c r="A68" t="s">
        <v>38</v>
      </c>
      <c r="B68" t="s">
        <v>5</v>
      </c>
      <c r="C68">
        <v>50</v>
      </c>
      <c r="D68">
        <v>4.8600000000000003</v>
      </c>
      <c r="E68">
        <v>1.98</v>
      </c>
      <c r="F68">
        <v>0.36</v>
      </c>
      <c r="G68">
        <v>10.02</v>
      </c>
      <c r="H68">
        <v>51.24</v>
      </c>
      <c r="K68">
        <v>2.4400000000000004</v>
      </c>
      <c r="L68">
        <v>0.99180327868852447</v>
      </c>
      <c r="P68">
        <v>4.8624999999999998</v>
      </c>
    </row>
    <row r="69" spans="1:16" x14ac:dyDescent="0.2">
      <c r="A69" t="s">
        <v>38</v>
      </c>
      <c r="B69" t="s">
        <v>5</v>
      </c>
      <c r="C69">
        <v>40</v>
      </c>
      <c r="D69">
        <v>3.8933333333333331</v>
      </c>
      <c r="E69">
        <v>1.98</v>
      </c>
      <c r="F69">
        <v>0.36</v>
      </c>
      <c r="G69">
        <v>10.02</v>
      </c>
      <c r="H69">
        <v>51.24</v>
      </c>
      <c r="K69">
        <v>2.4400000000000004</v>
      </c>
      <c r="L69">
        <v>0.595628415300546</v>
      </c>
    </row>
    <row r="70" spans="1:16" x14ac:dyDescent="0.2">
      <c r="A70" t="s">
        <v>38</v>
      </c>
      <c r="B70" t="s">
        <v>5</v>
      </c>
      <c r="C70">
        <v>60</v>
      </c>
      <c r="D70">
        <v>5.84</v>
      </c>
      <c r="E70">
        <v>1.98</v>
      </c>
      <c r="F70">
        <v>0.36</v>
      </c>
      <c r="G70">
        <v>10.02</v>
      </c>
      <c r="H70">
        <v>51.24</v>
      </c>
      <c r="K70">
        <v>1.83</v>
      </c>
      <c r="L70">
        <v>2.1912568306010929</v>
      </c>
    </row>
    <row r="71" spans="1:16" x14ac:dyDescent="0.2">
      <c r="A71" t="s">
        <v>38</v>
      </c>
      <c r="B71" t="s">
        <v>5</v>
      </c>
      <c r="C71">
        <v>60</v>
      </c>
      <c r="D71">
        <v>5.84</v>
      </c>
      <c r="E71">
        <v>1.98</v>
      </c>
      <c r="F71">
        <v>0.36</v>
      </c>
      <c r="G71">
        <v>10.02</v>
      </c>
      <c r="H71">
        <v>51.24</v>
      </c>
      <c r="K71">
        <v>1.83</v>
      </c>
      <c r="L71">
        <v>2.1912568306010929</v>
      </c>
    </row>
    <row r="72" spans="1:16" x14ac:dyDescent="0.2">
      <c r="A72" t="s">
        <v>38</v>
      </c>
      <c r="B72" t="s">
        <v>5</v>
      </c>
      <c r="C72">
        <v>60</v>
      </c>
      <c r="D72">
        <v>5.84</v>
      </c>
      <c r="E72">
        <v>1.98</v>
      </c>
      <c r="F72">
        <v>0.36</v>
      </c>
      <c r="G72">
        <v>10.02</v>
      </c>
      <c r="H72">
        <v>51.24</v>
      </c>
      <c r="K72">
        <v>1.83</v>
      </c>
      <c r="L72">
        <v>2.1912568306010929</v>
      </c>
    </row>
    <row r="73" spans="1:16" x14ac:dyDescent="0.2">
      <c r="A73" t="s">
        <v>38</v>
      </c>
      <c r="B73" t="s">
        <v>5</v>
      </c>
      <c r="C73">
        <v>50</v>
      </c>
      <c r="D73">
        <v>4.87</v>
      </c>
      <c r="E73">
        <v>1.98</v>
      </c>
      <c r="F73">
        <v>0.36</v>
      </c>
      <c r="G73">
        <v>10.02</v>
      </c>
      <c r="H73">
        <v>51.24</v>
      </c>
      <c r="K73">
        <v>1.83</v>
      </c>
      <c r="L73">
        <v>1.6612021857923498</v>
      </c>
      <c r="P73">
        <v>4.8666666666666663</v>
      </c>
    </row>
    <row r="74" spans="1:16" x14ac:dyDescent="0.2">
      <c r="A74" t="s">
        <v>38</v>
      </c>
      <c r="B74" t="s">
        <v>5</v>
      </c>
      <c r="C74">
        <v>60</v>
      </c>
      <c r="D74">
        <v>9.74</v>
      </c>
      <c r="E74">
        <v>3.3000000000000003</v>
      </c>
      <c r="F74">
        <v>0.6</v>
      </c>
      <c r="G74">
        <v>16.7</v>
      </c>
      <c r="H74">
        <v>85.399999999999991</v>
      </c>
      <c r="K74">
        <v>3.66</v>
      </c>
      <c r="L74">
        <v>1.6612021857923498</v>
      </c>
    </row>
    <row r="75" spans="1:16" x14ac:dyDescent="0.2">
      <c r="A75" t="s">
        <v>38</v>
      </c>
      <c r="B75" t="s">
        <v>5</v>
      </c>
      <c r="C75">
        <v>60</v>
      </c>
      <c r="D75">
        <v>2.92</v>
      </c>
      <c r="E75">
        <v>1.98</v>
      </c>
      <c r="F75">
        <v>0.36</v>
      </c>
      <c r="G75">
        <v>10.02</v>
      </c>
      <c r="H75">
        <v>51.24</v>
      </c>
      <c r="K75">
        <v>1.83</v>
      </c>
      <c r="L75">
        <v>0.59562841530054644</v>
      </c>
    </row>
    <row r="76" spans="1:16" x14ac:dyDescent="0.2">
      <c r="A76">
        <v>300</v>
      </c>
      <c r="B76" t="s">
        <v>26</v>
      </c>
      <c r="C76">
        <v>200</v>
      </c>
      <c r="D76">
        <v>4.03</v>
      </c>
      <c r="E76">
        <v>0.1</v>
      </c>
      <c r="F76">
        <v>0</v>
      </c>
      <c r="G76">
        <v>20.2</v>
      </c>
      <c r="H76">
        <v>81.2</v>
      </c>
      <c r="K76">
        <v>2.65</v>
      </c>
      <c r="L76">
        <v>0.52075471698113218</v>
      </c>
    </row>
    <row r="77" spans="1:16" x14ac:dyDescent="0.2">
      <c r="A77">
        <v>300</v>
      </c>
      <c r="B77" t="s">
        <v>26</v>
      </c>
      <c r="C77">
        <v>200</v>
      </c>
      <c r="D77">
        <v>4.03</v>
      </c>
      <c r="E77">
        <v>0.1</v>
      </c>
      <c r="F77">
        <v>0</v>
      </c>
      <c r="G77">
        <v>20.2</v>
      </c>
      <c r="H77">
        <v>81.2</v>
      </c>
      <c r="K77">
        <v>2.65</v>
      </c>
      <c r="L77">
        <v>0.52075471698113218</v>
      </c>
    </row>
    <row r="78" spans="1:16" x14ac:dyDescent="0.2">
      <c r="A78">
        <v>300</v>
      </c>
      <c r="B78" t="s">
        <v>26</v>
      </c>
      <c r="C78">
        <v>200</v>
      </c>
      <c r="D78">
        <v>4.03</v>
      </c>
      <c r="E78">
        <v>0.1</v>
      </c>
      <c r="F78">
        <v>0</v>
      </c>
      <c r="G78">
        <v>20.2</v>
      </c>
      <c r="H78">
        <v>81.2</v>
      </c>
      <c r="K78">
        <v>2.65</v>
      </c>
      <c r="L78">
        <v>0.52075471698113218</v>
      </c>
    </row>
    <row r="79" spans="1:16" x14ac:dyDescent="0.2">
      <c r="A79">
        <v>300</v>
      </c>
      <c r="B79" t="s">
        <v>26</v>
      </c>
      <c r="C79">
        <v>200</v>
      </c>
      <c r="D79">
        <v>4.03</v>
      </c>
      <c r="E79">
        <v>0.1</v>
      </c>
      <c r="F79">
        <v>0</v>
      </c>
      <c r="G79">
        <v>20.2</v>
      </c>
      <c r="H79">
        <v>81.2</v>
      </c>
      <c r="K79">
        <v>2.65</v>
      </c>
      <c r="L79">
        <v>0.52075471698113218</v>
      </c>
    </row>
    <row r="80" spans="1:16" x14ac:dyDescent="0.2">
      <c r="A80">
        <v>300</v>
      </c>
      <c r="B80" t="s">
        <v>26</v>
      </c>
      <c r="C80">
        <v>200</v>
      </c>
      <c r="D80">
        <v>4.03</v>
      </c>
      <c r="E80">
        <v>0.1</v>
      </c>
      <c r="F80">
        <v>0</v>
      </c>
      <c r="G80">
        <v>20.2</v>
      </c>
      <c r="H80">
        <v>81.2</v>
      </c>
      <c r="K80">
        <v>2.65</v>
      </c>
      <c r="L80">
        <v>0.52075471698113218</v>
      </c>
    </row>
    <row r="81" spans="1:23" x14ac:dyDescent="0.2">
      <c r="A81">
        <v>300</v>
      </c>
      <c r="B81" t="s">
        <v>26</v>
      </c>
      <c r="C81">
        <v>200</v>
      </c>
      <c r="D81">
        <v>4.03</v>
      </c>
      <c r="E81">
        <v>0.1</v>
      </c>
      <c r="F81">
        <v>0</v>
      </c>
      <c r="G81">
        <v>20.2</v>
      </c>
      <c r="H81">
        <v>81.2</v>
      </c>
      <c r="K81">
        <v>2.65</v>
      </c>
      <c r="L81">
        <v>0.52075471698113218</v>
      </c>
      <c r="P81">
        <v>300</v>
      </c>
      <c r="Q81" t="s">
        <v>26</v>
      </c>
      <c r="R81">
        <v>200</v>
      </c>
      <c r="S81">
        <v>5.88</v>
      </c>
      <c r="T81">
        <v>0.1</v>
      </c>
      <c r="U81">
        <v>0</v>
      </c>
      <c r="V81">
        <v>20.2</v>
      </c>
      <c r="W81">
        <v>81.2</v>
      </c>
    </row>
    <row r="82" spans="1:23" x14ac:dyDescent="0.2">
      <c r="A82">
        <v>300</v>
      </c>
      <c r="B82" t="s">
        <v>26</v>
      </c>
      <c r="C82">
        <v>200</v>
      </c>
      <c r="D82">
        <v>4.03</v>
      </c>
      <c r="E82">
        <v>0.1</v>
      </c>
      <c r="F82">
        <v>0</v>
      </c>
      <c r="G82">
        <v>20.2</v>
      </c>
      <c r="H82">
        <v>81.2</v>
      </c>
      <c r="K82">
        <v>4.3099999999999996</v>
      </c>
      <c r="L82">
        <v>-6.4965197215777093E-2</v>
      </c>
    </row>
    <row r="83" spans="1:23" x14ac:dyDescent="0.2">
      <c r="A83">
        <v>300</v>
      </c>
      <c r="B83" t="s">
        <v>26</v>
      </c>
      <c r="C83">
        <v>200</v>
      </c>
      <c r="D83">
        <v>4.03</v>
      </c>
      <c r="E83">
        <v>0.1</v>
      </c>
      <c r="F83">
        <v>0</v>
      </c>
      <c r="G83">
        <v>20.2</v>
      </c>
      <c r="H83">
        <v>81.2</v>
      </c>
      <c r="K83">
        <v>2.65</v>
      </c>
      <c r="L83">
        <v>0.52075471698113218</v>
      </c>
    </row>
    <row r="84" spans="1:23" x14ac:dyDescent="0.2">
      <c r="A84">
        <v>300</v>
      </c>
      <c r="B84" t="s">
        <v>26</v>
      </c>
      <c r="C84">
        <v>200</v>
      </c>
      <c r="D84">
        <v>4.03</v>
      </c>
      <c r="E84">
        <v>0.1</v>
      </c>
      <c r="F84">
        <v>0</v>
      </c>
      <c r="G84">
        <v>20.2</v>
      </c>
      <c r="H84">
        <v>81.2</v>
      </c>
      <c r="K84">
        <v>4.3099999999999996</v>
      </c>
      <c r="L84">
        <v>-6.4965197215777093E-2</v>
      </c>
    </row>
    <row r="85" spans="1:23" x14ac:dyDescent="0.2">
      <c r="A85">
        <v>300</v>
      </c>
      <c r="B85" t="s">
        <v>26</v>
      </c>
      <c r="C85">
        <v>200</v>
      </c>
      <c r="D85">
        <v>4.03</v>
      </c>
      <c r="E85">
        <v>0.1</v>
      </c>
      <c r="F85">
        <v>0</v>
      </c>
      <c r="G85">
        <v>20.2</v>
      </c>
      <c r="H85">
        <v>81.2</v>
      </c>
      <c r="K85">
        <v>2.65</v>
      </c>
      <c r="L85">
        <v>0.52075471698113218</v>
      </c>
    </row>
    <row r="86" spans="1:23" x14ac:dyDescent="0.2">
      <c r="A86">
        <v>300</v>
      </c>
      <c r="B86" t="s">
        <v>26</v>
      </c>
      <c r="C86">
        <v>200</v>
      </c>
      <c r="D86">
        <v>4.03</v>
      </c>
      <c r="E86">
        <v>0.1</v>
      </c>
      <c r="F86">
        <v>0</v>
      </c>
      <c r="G86">
        <v>20.2</v>
      </c>
      <c r="H86">
        <v>81.2</v>
      </c>
      <c r="K86">
        <v>2.65</v>
      </c>
      <c r="L86">
        <v>0.52075471698113218</v>
      </c>
    </row>
    <row r="87" spans="1:23" x14ac:dyDescent="0.2">
      <c r="A87">
        <v>300</v>
      </c>
      <c r="B87" t="s">
        <v>26</v>
      </c>
      <c r="C87">
        <v>200</v>
      </c>
      <c r="D87">
        <v>4.03</v>
      </c>
      <c r="E87">
        <v>0.1</v>
      </c>
      <c r="F87">
        <v>0</v>
      </c>
      <c r="G87">
        <v>20.2</v>
      </c>
      <c r="H87">
        <v>81.2</v>
      </c>
      <c r="K87">
        <v>2.65</v>
      </c>
      <c r="L87">
        <v>0.52075471698113218</v>
      </c>
    </row>
    <row r="88" spans="1:23" x14ac:dyDescent="0.2">
      <c r="A88">
        <v>300</v>
      </c>
      <c r="B88" t="s">
        <v>26</v>
      </c>
      <c r="C88">
        <v>200</v>
      </c>
      <c r="D88">
        <v>4.03</v>
      </c>
      <c r="E88">
        <v>0.1</v>
      </c>
      <c r="F88">
        <v>0</v>
      </c>
      <c r="G88">
        <v>20.2</v>
      </c>
      <c r="H88">
        <v>81.2</v>
      </c>
      <c r="K88">
        <v>5.35</v>
      </c>
      <c r="L88">
        <v>-0.24672897196261667</v>
      </c>
    </row>
    <row r="89" spans="1:23" x14ac:dyDescent="0.2">
      <c r="A89">
        <v>300</v>
      </c>
      <c r="B89" t="s">
        <v>26</v>
      </c>
      <c r="C89">
        <v>200</v>
      </c>
      <c r="D89">
        <v>4.03</v>
      </c>
      <c r="E89">
        <v>0.1</v>
      </c>
      <c r="F89">
        <v>0</v>
      </c>
      <c r="G89">
        <v>20.2</v>
      </c>
      <c r="H89">
        <v>81.2</v>
      </c>
      <c r="K89">
        <v>2.65</v>
      </c>
      <c r="L89">
        <v>0.52075471698113218</v>
      </c>
    </row>
    <row r="90" spans="1:23" x14ac:dyDescent="0.2">
      <c r="A90">
        <v>300</v>
      </c>
      <c r="B90" t="s">
        <v>26</v>
      </c>
      <c r="C90">
        <v>200</v>
      </c>
      <c r="D90">
        <v>4.03</v>
      </c>
      <c r="E90">
        <v>0.1</v>
      </c>
      <c r="F90">
        <v>0</v>
      </c>
      <c r="G90">
        <v>20.2</v>
      </c>
      <c r="H90">
        <v>81.2</v>
      </c>
      <c r="K90">
        <v>4.3099999999999996</v>
      </c>
      <c r="L90">
        <v>-6.4965197215777093E-2</v>
      </c>
    </row>
    <row r="91" spans="1:23" x14ac:dyDescent="0.2">
      <c r="A91">
        <v>300</v>
      </c>
      <c r="B91" t="s">
        <v>26</v>
      </c>
      <c r="C91">
        <v>200</v>
      </c>
      <c r="D91">
        <v>4.03</v>
      </c>
      <c r="E91">
        <v>0.1</v>
      </c>
      <c r="F91">
        <v>0</v>
      </c>
      <c r="G91">
        <v>20.2</v>
      </c>
      <c r="H91">
        <v>81.2</v>
      </c>
      <c r="K91">
        <v>2.65</v>
      </c>
      <c r="L91">
        <v>0.52075471698113218</v>
      </c>
    </row>
    <row r="92" spans="1:23" x14ac:dyDescent="0.2">
      <c r="A92">
        <v>300</v>
      </c>
      <c r="B92" t="s">
        <v>26</v>
      </c>
      <c r="C92">
        <v>200</v>
      </c>
      <c r="D92">
        <v>4.03</v>
      </c>
      <c r="E92">
        <v>0.1</v>
      </c>
      <c r="F92">
        <v>0</v>
      </c>
      <c r="G92">
        <v>20.2</v>
      </c>
      <c r="H92">
        <v>81.2</v>
      </c>
      <c r="K92">
        <v>2.65</v>
      </c>
      <c r="L92">
        <v>0.52075471698113218</v>
      </c>
    </row>
    <row r="93" spans="1:23" x14ac:dyDescent="0.2">
      <c r="A93">
        <v>300</v>
      </c>
      <c r="B93" t="s">
        <v>26</v>
      </c>
      <c r="C93">
        <v>200</v>
      </c>
      <c r="D93">
        <v>4.03</v>
      </c>
      <c r="E93">
        <v>0.1</v>
      </c>
      <c r="F93">
        <v>0</v>
      </c>
      <c r="G93">
        <v>20.2</v>
      </c>
      <c r="H93">
        <v>81.2</v>
      </c>
      <c r="K93">
        <v>2.65</v>
      </c>
      <c r="L93">
        <v>0.52075471698113218</v>
      </c>
    </row>
    <row r="94" spans="1:23" x14ac:dyDescent="0.2">
      <c r="A94">
        <v>300</v>
      </c>
      <c r="B94" t="s">
        <v>26</v>
      </c>
      <c r="C94">
        <v>200</v>
      </c>
      <c r="D94">
        <v>4.03</v>
      </c>
      <c r="E94">
        <v>0.1</v>
      </c>
      <c r="F94">
        <v>0</v>
      </c>
      <c r="G94">
        <v>20.2</v>
      </c>
      <c r="H94">
        <v>81.2</v>
      </c>
      <c r="K94">
        <v>2.65</v>
      </c>
      <c r="L94">
        <v>1.2188679245283018</v>
      </c>
    </row>
    <row r="95" spans="1:23" x14ac:dyDescent="0.2">
      <c r="A95">
        <v>62</v>
      </c>
      <c r="B95" t="s">
        <v>160</v>
      </c>
      <c r="C95">
        <v>250</v>
      </c>
      <c r="D95">
        <v>24.54</v>
      </c>
      <c r="E95">
        <v>7.0299999999999994</v>
      </c>
      <c r="F95">
        <v>9.23</v>
      </c>
      <c r="G95">
        <v>30.8</v>
      </c>
      <c r="H95">
        <v>231.72</v>
      </c>
      <c r="K95">
        <v>10.52</v>
      </c>
      <c r="L95">
        <v>1.332699619771863</v>
      </c>
      <c r="P95">
        <v>26.673913043478258</v>
      </c>
    </row>
  </sheetData>
  <sortState ref="A1:W163">
    <sortCondition ref="B1:B16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B1" workbookViewId="0">
      <selection activeCell="E52" sqref="E52"/>
    </sheetView>
  </sheetViews>
  <sheetFormatPr defaultRowHeight="12.75" x14ac:dyDescent="0.2"/>
  <cols>
    <col min="1" max="1" width="0" hidden="1" customWidth="1"/>
    <col min="2" max="2" width="35.7109375" bestFit="1" customWidth="1"/>
    <col min="4" max="4" width="0" hidden="1" customWidth="1"/>
    <col min="5" max="5" width="44.5703125" customWidth="1"/>
    <col min="7" max="7" width="0" hidden="1" customWidth="1"/>
    <col min="8" max="8" width="31.7109375" bestFit="1" customWidth="1"/>
  </cols>
  <sheetData>
    <row r="1" spans="1:11" ht="16.5" thickBot="1" x14ac:dyDescent="0.3">
      <c r="A1" s="98"/>
      <c r="B1" s="156" t="s">
        <v>112</v>
      </c>
      <c r="C1" s="160"/>
      <c r="D1" s="112"/>
      <c r="E1" s="156" t="s">
        <v>113</v>
      </c>
      <c r="F1" s="160"/>
      <c r="G1" s="112"/>
      <c r="H1" s="156" t="s">
        <v>114</v>
      </c>
      <c r="I1" s="161"/>
    </row>
    <row r="2" spans="1:11" ht="15.75" x14ac:dyDescent="0.25">
      <c r="A2" s="100">
        <v>193</v>
      </c>
      <c r="B2" s="158" t="s">
        <v>136</v>
      </c>
      <c r="C2" s="159">
        <v>205</v>
      </c>
      <c r="D2" s="100">
        <v>241</v>
      </c>
      <c r="E2" s="158" t="s">
        <v>129</v>
      </c>
      <c r="F2" s="159">
        <v>110</v>
      </c>
      <c r="G2" s="123">
        <v>208</v>
      </c>
      <c r="H2" s="197" t="s">
        <v>130</v>
      </c>
      <c r="I2" s="198">
        <v>140</v>
      </c>
    </row>
    <row r="3" spans="1:11" ht="15.75" x14ac:dyDescent="0.25">
      <c r="A3" s="100">
        <v>300</v>
      </c>
      <c r="B3" s="23" t="s">
        <v>26</v>
      </c>
      <c r="C3" s="102">
        <v>200</v>
      </c>
      <c r="D3" s="100" t="s">
        <v>36</v>
      </c>
      <c r="E3" s="13" t="s">
        <v>33</v>
      </c>
      <c r="F3" s="103">
        <v>90</v>
      </c>
      <c r="G3" s="123">
        <v>300</v>
      </c>
      <c r="H3" s="126" t="s">
        <v>26</v>
      </c>
      <c r="I3" s="102">
        <v>200</v>
      </c>
    </row>
    <row r="4" spans="1:11" ht="15.75" x14ac:dyDescent="0.25">
      <c r="A4" s="100" t="s">
        <v>36</v>
      </c>
      <c r="B4" s="13" t="s">
        <v>31</v>
      </c>
      <c r="C4" s="103">
        <v>50</v>
      </c>
      <c r="D4" s="100">
        <v>313</v>
      </c>
      <c r="E4" s="23" t="s">
        <v>26</v>
      </c>
      <c r="F4" s="101">
        <v>200</v>
      </c>
      <c r="G4" s="123" t="s">
        <v>36</v>
      </c>
      <c r="H4" s="126" t="s">
        <v>118</v>
      </c>
      <c r="I4" s="102">
        <v>10</v>
      </c>
    </row>
    <row r="5" spans="1:11" ht="15.75" x14ac:dyDescent="0.25">
      <c r="A5" s="104" t="s">
        <v>44</v>
      </c>
      <c r="B5" s="4" t="s">
        <v>53</v>
      </c>
      <c r="C5" s="101">
        <v>45</v>
      </c>
      <c r="D5" s="100">
        <v>289</v>
      </c>
      <c r="E5" s="13" t="s">
        <v>137</v>
      </c>
      <c r="F5" s="101">
        <v>100</v>
      </c>
      <c r="G5" s="117"/>
      <c r="H5" s="127" t="s">
        <v>31</v>
      </c>
      <c r="I5" s="103">
        <v>55</v>
      </c>
    </row>
    <row r="6" spans="1:11" ht="15.75" x14ac:dyDescent="0.25">
      <c r="A6" s="105"/>
      <c r="B6" s="9" t="s">
        <v>20</v>
      </c>
      <c r="C6" s="106">
        <f t="shared" ref="C6" si="0">SUM(C2:C5)</f>
        <v>500</v>
      </c>
      <c r="D6" s="113"/>
      <c r="E6" s="9" t="s">
        <v>20</v>
      </c>
      <c r="F6" s="106">
        <f t="shared" ref="F6" si="1">SUM(F2:F5)</f>
        <v>500</v>
      </c>
      <c r="G6" s="117"/>
      <c r="H6" s="127" t="s">
        <v>89</v>
      </c>
      <c r="I6" s="103">
        <v>95</v>
      </c>
    </row>
    <row r="7" spans="1:11" ht="15.75" x14ac:dyDescent="0.25">
      <c r="A7" s="117"/>
      <c r="B7" s="88"/>
      <c r="C7" s="118"/>
      <c r="D7" s="121"/>
      <c r="E7" s="88"/>
      <c r="F7" s="118"/>
      <c r="G7" s="120" t="s">
        <v>11</v>
      </c>
      <c r="H7" s="128" t="s">
        <v>20</v>
      </c>
      <c r="I7" s="106">
        <f>SUM(I2:I6)</f>
        <v>500</v>
      </c>
    </row>
    <row r="8" spans="1:11" ht="15.75" x14ac:dyDescent="0.25">
      <c r="A8" s="357" t="s">
        <v>11</v>
      </c>
      <c r="B8" s="334"/>
      <c r="C8" s="107"/>
      <c r="D8" s="357" t="s">
        <v>11</v>
      </c>
      <c r="E8" s="334"/>
      <c r="F8" s="107"/>
      <c r="G8" s="124" t="s">
        <v>39</v>
      </c>
      <c r="H8" s="357" t="s">
        <v>11</v>
      </c>
      <c r="I8" s="358"/>
    </row>
    <row r="9" spans="1:11" ht="15.75" x14ac:dyDescent="0.25">
      <c r="A9" s="100">
        <v>56</v>
      </c>
      <c r="B9" s="1" t="s">
        <v>59</v>
      </c>
      <c r="C9" s="115">
        <v>200</v>
      </c>
      <c r="D9" s="100">
        <v>58</v>
      </c>
      <c r="E9" s="1" t="s">
        <v>91</v>
      </c>
      <c r="F9" s="114">
        <v>230</v>
      </c>
      <c r="G9" s="123">
        <v>62</v>
      </c>
      <c r="H9" s="126" t="s">
        <v>21</v>
      </c>
      <c r="I9" s="119">
        <v>30</v>
      </c>
    </row>
    <row r="10" spans="1:11" ht="15.75" x14ac:dyDescent="0.25">
      <c r="A10" s="100">
        <v>136</v>
      </c>
      <c r="B10" s="23" t="s">
        <v>102</v>
      </c>
      <c r="C10" s="103">
        <v>90</v>
      </c>
      <c r="D10" s="100">
        <v>107</v>
      </c>
      <c r="E10" s="23" t="s">
        <v>110</v>
      </c>
      <c r="F10" s="103">
        <v>90</v>
      </c>
      <c r="G10" s="123">
        <v>183</v>
      </c>
      <c r="H10" s="126" t="s">
        <v>41</v>
      </c>
      <c r="I10" s="115">
        <v>200</v>
      </c>
    </row>
    <row r="11" spans="1:11" ht="15.75" x14ac:dyDescent="0.25">
      <c r="A11" s="100">
        <v>227</v>
      </c>
      <c r="B11" s="29" t="s">
        <v>58</v>
      </c>
      <c r="C11" s="102">
        <v>150</v>
      </c>
      <c r="D11" s="100">
        <v>187</v>
      </c>
      <c r="E11" s="29" t="s">
        <v>34</v>
      </c>
      <c r="F11" s="102">
        <v>150</v>
      </c>
      <c r="G11" s="123">
        <v>96</v>
      </c>
      <c r="H11" s="140" t="s">
        <v>55</v>
      </c>
      <c r="I11" s="115">
        <v>220</v>
      </c>
      <c r="J11" s="95"/>
      <c r="K11" s="96"/>
    </row>
    <row r="12" spans="1:11" ht="15.75" x14ac:dyDescent="0.25">
      <c r="A12" s="100">
        <v>320</v>
      </c>
      <c r="B12" s="13" t="s">
        <v>28</v>
      </c>
      <c r="C12" s="103">
        <v>200</v>
      </c>
      <c r="D12" s="100">
        <v>311</v>
      </c>
      <c r="E12" s="12" t="s">
        <v>25</v>
      </c>
      <c r="F12" s="116">
        <v>200</v>
      </c>
      <c r="G12" s="123">
        <v>314</v>
      </c>
      <c r="H12" s="129" t="s">
        <v>60</v>
      </c>
      <c r="I12" s="116">
        <v>200</v>
      </c>
    </row>
    <row r="13" spans="1:11" ht="16.5" thickBot="1" x14ac:dyDescent="0.3">
      <c r="A13" s="104" t="s">
        <v>38</v>
      </c>
      <c r="B13" s="166" t="s">
        <v>5</v>
      </c>
      <c r="C13" s="163">
        <v>30</v>
      </c>
      <c r="D13" s="104" t="s">
        <v>38</v>
      </c>
      <c r="E13" s="166" t="s">
        <v>5</v>
      </c>
      <c r="F13" s="163">
        <v>30</v>
      </c>
      <c r="G13" s="124" t="s">
        <v>38</v>
      </c>
      <c r="H13" s="199" t="s">
        <v>5</v>
      </c>
      <c r="I13" s="200">
        <v>50</v>
      </c>
    </row>
    <row r="14" spans="1:11" ht="16.5" thickBot="1" x14ac:dyDescent="0.3">
      <c r="A14" s="125"/>
      <c r="B14" s="164" t="s">
        <v>20</v>
      </c>
      <c r="C14" s="165">
        <f t="shared" ref="C14" si="2">SUM(C9:C13)</f>
        <v>670</v>
      </c>
      <c r="D14" s="125"/>
      <c r="E14" s="164" t="s">
        <v>20</v>
      </c>
      <c r="F14" s="165">
        <f t="shared" ref="F14" si="3">SUM(F9:F13)</f>
        <v>700</v>
      </c>
      <c r="G14" s="125"/>
      <c r="H14" s="164" t="s">
        <v>20</v>
      </c>
      <c r="I14" s="165">
        <f>SUM(I9:I13)</f>
        <v>700</v>
      </c>
    </row>
    <row r="15" spans="1:11" ht="15.75" x14ac:dyDescent="0.25">
      <c r="A15" s="97"/>
      <c r="B15" s="131"/>
      <c r="C15" s="91"/>
      <c r="G15" s="89"/>
      <c r="H15" s="90"/>
      <c r="I15" s="91"/>
    </row>
    <row r="16" spans="1:11" ht="16.5" thickBot="1" x14ac:dyDescent="0.3">
      <c r="A16" s="89"/>
      <c r="B16" s="16"/>
      <c r="C16" s="91"/>
      <c r="G16" s="89"/>
      <c r="H16" s="90"/>
      <c r="I16" s="91"/>
    </row>
    <row r="17" spans="1:7" ht="16.5" thickBot="1" x14ac:dyDescent="0.3">
      <c r="A17" s="133"/>
      <c r="B17" s="153" t="s">
        <v>115</v>
      </c>
      <c r="C17" s="154"/>
      <c r="D17" s="92"/>
      <c r="E17" s="156" t="s">
        <v>116</v>
      </c>
      <c r="F17" s="157"/>
    </row>
    <row r="18" spans="1:7" ht="15.75" x14ac:dyDescent="0.25">
      <c r="A18" s="100">
        <v>234</v>
      </c>
      <c r="B18" s="151" t="s">
        <v>119</v>
      </c>
      <c r="C18" s="152">
        <v>105</v>
      </c>
      <c r="D18" s="132">
        <v>96</v>
      </c>
      <c r="E18" s="155" t="s">
        <v>87</v>
      </c>
      <c r="F18" s="152">
        <v>90</v>
      </c>
    </row>
    <row r="19" spans="1:7" ht="15.75" x14ac:dyDescent="0.25">
      <c r="A19" s="100">
        <v>313</v>
      </c>
      <c r="B19" s="4" t="s">
        <v>26</v>
      </c>
      <c r="C19" s="101">
        <v>200</v>
      </c>
      <c r="D19" s="137">
        <v>187</v>
      </c>
      <c r="E19" s="29" t="s">
        <v>58</v>
      </c>
      <c r="F19" s="102">
        <v>180</v>
      </c>
    </row>
    <row r="20" spans="1:7" ht="15.75" x14ac:dyDescent="0.25">
      <c r="A20" s="100"/>
      <c r="B20" s="4" t="s">
        <v>118</v>
      </c>
      <c r="C20" s="101">
        <v>10</v>
      </c>
      <c r="D20" s="137"/>
      <c r="E20" s="126" t="s">
        <v>26</v>
      </c>
      <c r="F20" s="102">
        <v>200</v>
      </c>
    </row>
    <row r="21" spans="1:7" ht="15.75" x14ac:dyDescent="0.25">
      <c r="A21" s="100" t="s">
        <v>36</v>
      </c>
      <c r="B21" s="13" t="s">
        <v>33</v>
      </c>
      <c r="C21" s="103">
        <v>70</v>
      </c>
      <c r="D21" s="132">
        <v>300</v>
      </c>
      <c r="E21" s="30" t="s">
        <v>0</v>
      </c>
      <c r="F21" s="101">
        <v>30</v>
      </c>
    </row>
    <row r="22" spans="1:7" ht="15.75" x14ac:dyDescent="0.25">
      <c r="A22" s="104" t="s">
        <v>37</v>
      </c>
      <c r="B22" s="4" t="s">
        <v>0</v>
      </c>
      <c r="C22" s="101">
        <v>40</v>
      </c>
      <c r="D22" s="137" t="s">
        <v>37</v>
      </c>
      <c r="E22" s="128" t="s">
        <v>20</v>
      </c>
      <c r="F22" s="106">
        <f>SUM(F18:F21)</f>
        <v>500</v>
      </c>
    </row>
    <row r="23" spans="1:7" ht="15.75" x14ac:dyDescent="0.25">
      <c r="A23" s="104"/>
      <c r="B23" s="13" t="s">
        <v>137</v>
      </c>
      <c r="C23" s="101">
        <v>75</v>
      </c>
      <c r="D23" s="137"/>
      <c r="E23" s="141"/>
      <c r="F23" s="118"/>
    </row>
    <row r="24" spans="1:7" ht="15.75" x14ac:dyDescent="0.25">
      <c r="A24" s="113"/>
      <c r="B24" s="9" t="s">
        <v>20</v>
      </c>
      <c r="C24" s="106">
        <f>SUM(C18:C23)</f>
        <v>500</v>
      </c>
      <c r="D24" s="138"/>
      <c r="E24" s="120"/>
      <c r="F24" s="107"/>
    </row>
    <row r="25" spans="1:7" ht="15.75" x14ac:dyDescent="0.25">
      <c r="A25" s="357" t="s">
        <v>11</v>
      </c>
      <c r="B25" s="334"/>
      <c r="C25" s="107"/>
      <c r="D25" s="84"/>
      <c r="E25" s="120" t="s">
        <v>11</v>
      </c>
      <c r="F25" s="107"/>
      <c r="G25" s="93"/>
    </row>
    <row r="26" spans="1:7" ht="15.75" x14ac:dyDescent="0.25">
      <c r="A26" s="104" t="s">
        <v>39</v>
      </c>
      <c r="B26" s="23" t="s">
        <v>21</v>
      </c>
      <c r="C26" s="119">
        <v>30</v>
      </c>
      <c r="D26" s="137" t="s">
        <v>39</v>
      </c>
      <c r="E26" s="126" t="s">
        <v>21</v>
      </c>
      <c r="F26" s="119">
        <v>30</v>
      </c>
    </row>
    <row r="27" spans="1:7" ht="15.75" x14ac:dyDescent="0.25">
      <c r="A27" s="134" t="s">
        <v>57</v>
      </c>
      <c r="B27" s="1" t="s">
        <v>117</v>
      </c>
      <c r="C27" s="135">
        <v>200</v>
      </c>
      <c r="D27" s="132">
        <v>56</v>
      </c>
      <c r="E27" s="142" t="s">
        <v>30</v>
      </c>
      <c r="F27" s="102">
        <v>200</v>
      </c>
    </row>
    <row r="28" spans="1:7" ht="15.75" x14ac:dyDescent="0.25">
      <c r="A28" s="100">
        <v>259</v>
      </c>
      <c r="B28" s="25" t="s">
        <v>65</v>
      </c>
      <c r="C28" s="116">
        <v>240</v>
      </c>
      <c r="D28" s="132">
        <v>110</v>
      </c>
      <c r="E28" s="150" t="s">
        <v>138</v>
      </c>
      <c r="F28" s="103">
        <v>90</v>
      </c>
    </row>
    <row r="29" spans="1:7" ht="15.75" x14ac:dyDescent="0.25">
      <c r="A29" s="100">
        <v>310</v>
      </c>
      <c r="B29" s="12" t="s">
        <v>29</v>
      </c>
      <c r="C29" s="136">
        <v>200</v>
      </c>
      <c r="D29" s="132">
        <v>314</v>
      </c>
      <c r="E29" s="143" t="s">
        <v>34</v>
      </c>
      <c r="F29" s="102">
        <v>150</v>
      </c>
    </row>
    <row r="30" spans="1:7" ht="16.5" thickBot="1" x14ac:dyDescent="0.3">
      <c r="A30" s="104" t="s">
        <v>38</v>
      </c>
      <c r="B30" s="166" t="s">
        <v>5</v>
      </c>
      <c r="C30" s="167">
        <v>30</v>
      </c>
      <c r="D30" s="137" t="s">
        <v>38</v>
      </c>
      <c r="E30" s="129" t="s">
        <v>60</v>
      </c>
      <c r="F30" s="116">
        <v>200</v>
      </c>
    </row>
    <row r="31" spans="1:7" ht="16.5" thickBot="1" x14ac:dyDescent="0.3">
      <c r="A31" s="125"/>
      <c r="B31" s="164" t="s">
        <v>20</v>
      </c>
      <c r="C31" s="165">
        <f>SUM(C26:C30)</f>
        <v>700</v>
      </c>
      <c r="D31" s="132"/>
      <c r="E31" s="162" t="s">
        <v>5</v>
      </c>
      <c r="F31" s="163">
        <v>30</v>
      </c>
    </row>
    <row r="32" spans="1:7" ht="16.5" thickBot="1" x14ac:dyDescent="0.3">
      <c r="E32" s="164" t="s">
        <v>20</v>
      </c>
      <c r="F32" s="165">
        <f t="shared" ref="F32" si="4">SUM(F26:F31)</f>
        <v>700</v>
      </c>
    </row>
    <row r="34" spans="2:3" hidden="1" x14ac:dyDescent="0.2">
      <c r="B34" t="s">
        <v>103</v>
      </c>
      <c r="C34" t="s">
        <v>95</v>
      </c>
    </row>
    <row r="35" spans="2:3" hidden="1" x14ac:dyDescent="0.2">
      <c r="B35" t="s">
        <v>104</v>
      </c>
      <c r="C35" t="s">
        <v>95</v>
      </c>
    </row>
    <row r="36" spans="2:3" hidden="1" x14ac:dyDescent="0.2">
      <c r="B36" t="s">
        <v>105</v>
      </c>
      <c r="C36" t="s">
        <v>95</v>
      </c>
    </row>
    <row r="37" spans="2:3" hidden="1" x14ac:dyDescent="0.2">
      <c r="B37" t="s">
        <v>106</v>
      </c>
      <c r="C37" t="s">
        <v>95</v>
      </c>
    </row>
    <row r="38" spans="2:3" hidden="1" x14ac:dyDescent="0.2">
      <c r="B38" t="s">
        <v>111</v>
      </c>
      <c r="C38" t="s">
        <v>95</v>
      </c>
    </row>
    <row r="39" spans="2:3" hidden="1" x14ac:dyDescent="0.2">
      <c r="B39" t="s">
        <v>107</v>
      </c>
      <c r="C39" t="s">
        <v>95</v>
      </c>
    </row>
    <row r="40" spans="2:3" hidden="1" x14ac:dyDescent="0.2">
      <c r="B40" t="s">
        <v>108</v>
      </c>
      <c r="C40" t="s">
        <v>95</v>
      </c>
    </row>
    <row r="41" spans="2:3" hidden="1" x14ac:dyDescent="0.2">
      <c r="B41" t="s">
        <v>109</v>
      </c>
      <c r="C41" t="s">
        <v>95</v>
      </c>
    </row>
    <row r="42" spans="2:3" hidden="1" x14ac:dyDescent="0.2">
      <c r="B42" t="s">
        <v>101</v>
      </c>
      <c r="C42" t="s">
        <v>95</v>
      </c>
    </row>
    <row r="43" spans="2:3" hidden="1" x14ac:dyDescent="0.2">
      <c r="B43" t="s">
        <v>184</v>
      </c>
      <c r="C43" t="s">
        <v>95</v>
      </c>
    </row>
  </sheetData>
  <mergeCells count="4">
    <mergeCell ref="H8:I8"/>
    <mergeCell ref="A8:B8"/>
    <mergeCell ref="D8:E8"/>
    <mergeCell ref="A25:B2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B7" workbookViewId="0">
      <selection activeCell="B33" sqref="A33:XFD42"/>
    </sheetView>
  </sheetViews>
  <sheetFormatPr defaultRowHeight="12.75" x14ac:dyDescent="0.2"/>
  <cols>
    <col min="1" max="1" width="0" hidden="1" customWidth="1"/>
    <col min="2" max="2" width="43" bestFit="1" customWidth="1"/>
    <col min="4" max="4" width="0" hidden="1" customWidth="1"/>
    <col min="5" max="5" width="39.28515625" customWidth="1"/>
    <col min="7" max="7" width="0" hidden="1" customWidth="1"/>
    <col min="8" max="8" width="42.5703125" customWidth="1"/>
  </cols>
  <sheetData>
    <row r="1" spans="1:9" ht="15.75" x14ac:dyDescent="0.25">
      <c r="A1" s="98"/>
      <c r="B1" s="99" t="s">
        <v>124</v>
      </c>
      <c r="C1" s="139"/>
      <c r="D1" s="98"/>
      <c r="E1" s="99" t="s">
        <v>125</v>
      </c>
      <c r="F1" s="139"/>
      <c r="H1" s="112" t="s">
        <v>126</v>
      </c>
      <c r="I1" s="139"/>
    </row>
    <row r="2" spans="1:9" ht="31.5" x14ac:dyDescent="0.25">
      <c r="A2" s="100">
        <v>208</v>
      </c>
      <c r="B2" s="4" t="s">
        <v>134</v>
      </c>
      <c r="C2" s="101">
        <v>200</v>
      </c>
      <c r="D2" s="100">
        <v>241</v>
      </c>
      <c r="E2" s="25" t="s">
        <v>93</v>
      </c>
      <c r="F2" s="101">
        <v>140</v>
      </c>
      <c r="G2" s="132">
        <v>208</v>
      </c>
      <c r="H2" s="140" t="s">
        <v>132</v>
      </c>
      <c r="I2" s="115">
        <v>150</v>
      </c>
    </row>
    <row r="3" spans="1:9" ht="15.75" x14ac:dyDescent="0.25">
      <c r="A3" s="100">
        <v>313</v>
      </c>
      <c r="B3" s="4" t="s">
        <v>56</v>
      </c>
      <c r="C3" s="101">
        <v>200</v>
      </c>
      <c r="D3" s="100" t="s">
        <v>36</v>
      </c>
      <c r="E3" s="30" t="s">
        <v>33</v>
      </c>
      <c r="F3" s="103">
        <v>60</v>
      </c>
      <c r="G3" s="132">
        <v>300</v>
      </c>
      <c r="H3" s="140" t="s">
        <v>133</v>
      </c>
      <c r="I3" s="115">
        <v>100</v>
      </c>
    </row>
    <row r="4" spans="1:9" ht="15.75" x14ac:dyDescent="0.25">
      <c r="A4" s="100" t="s">
        <v>36</v>
      </c>
      <c r="B4" s="13" t="s">
        <v>137</v>
      </c>
      <c r="C4" s="101">
        <v>100</v>
      </c>
      <c r="D4" s="100">
        <v>300</v>
      </c>
      <c r="E4" s="23" t="s">
        <v>26</v>
      </c>
      <c r="F4" s="101">
        <v>200</v>
      </c>
      <c r="G4" s="132" t="s">
        <v>36</v>
      </c>
      <c r="H4" s="126" t="s">
        <v>21</v>
      </c>
      <c r="I4" s="102">
        <v>20</v>
      </c>
    </row>
    <row r="5" spans="1:9" ht="15.75" x14ac:dyDescent="0.25">
      <c r="A5" s="104" t="s">
        <v>37</v>
      </c>
      <c r="B5" s="9" t="s">
        <v>20</v>
      </c>
      <c r="C5" s="106">
        <f t="shared" ref="C5" si="0">SUM(C1:C4)</f>
        <v>500</v>
      </c>
      <c r="D5" s="100">
        <v>289</v>
      </c>
      <c r="E5" s="13" t="s">
        <v>137</v>
      </c>
      <c r="F5" s="101">
        <v>100</v>
      </c>
      <c r="G5" s="111"/>
      <c r="H5" s="126" t="s">
        <v>26</v>
      </c>
      <c r="I5" s="101">
        <v>200</v>
      </c>
    </row>
    <row r="6" spans="1:9" ht="15.75" x14ac:dyDescent="0.25">
      <c r="A6" s="100"/>
      <c r="B6" s="9"/>
      <c r="C6" s="106"/>
      <c r="D6" s="113"/>
      <c r="E6" s="9" t="s">
        <v>20</v>
      </c>
      <c r="F6" s="106">
        <f t="shared" ref="F6" si="1">SUM(F2:F5)</f>
        <v>500</v>
      </c>
      <c r="G6" s="111"/>
      <c r="H6" s="30" t="s">
        <v>72</v>
      </c>
      <c r="I6" s="101">
        <v>30</v>
      </c>
    </row>
    <row r="7" spans="1:9" ht="15.75" x14ac:dyDescent="0.25">
      <c r="A7" s="357" t="s">
        <v>11</v>
      </c>
      <c r="B7" s="334"/>
      <c r="C7" s="107"/>
      <c r="D7" s="357" t="s">
        <v>11</v>
      </c>
      <c r="E7" s="334"/>
      <c r="F7" s="107"/>
      <c r="G7" s="84" t="s">
        <v>11</v>
      </c>
      <c r="H7" s="128" t="s">
        <v>20</v>
      </c>
      <c r="I7" s="106">
        <f>SUM(I2:I6)</f>
        <v>500</v>
      </c>
    </row>
    <row r="8" spans="1:9" ht="15.75" x14ac:dyDescent="0.25">
      <c r="A8" s="100">
        <v>65</v>
      </c>
      <c r="B8" s="1" t="s">
        <v>59</v>
      </c>
      <c r="C8" s="115">
        <v>200</v>
      </c>
      <c r="D8" s="100">
        <v>58</v>
      </c>
      <c r="E8" s="1" t="s">
        <v>169</v>
      </c>
      <c r="F8" s="58">
        <v>230</v>
      </c>
      <c r="G8" s="137" t="s">
        <v>39</v>
      </c>
      <c r="H8" s="126" t="s">
        <v>21</v>
      </c>
      <c r="I8" s="102">
        <v>30</v>
      </c>
    </row>
    <row r="9" spans="1:9" ht="31.5" x14ac:dyDescent="0.25">
      <c r="A9" s="100">
        <v>120</v>
      </c>
      <c r="B9" s="1" t="s">
        <v>122</v>
      </c>
      <c r="C9" s="115">
        <v>90</v>
      </c>
      <c r="D9" s="100">
        <v>107</v>
      </c>
      <c r="E9" s="140" t="s">
        <v>42</v>
      </c>
      <c r="F9" s="115">
        <v>90</v>
      </c>
      <c r="G9" s="132" t="s">
        <v>57</v>
      </c>
      <c r="H9" s="146" t="s">
        <v>41</v>
      </c>
      <c r="I9" s="114">
        <v>200</v>
      </c>
    </row>
    <row r="10" spans="1:9" ht="15.75" x14ac:dyDescent="0.25">
      <c r="A10" s="100">
        <v>310</v>
      </c>
      <c r="B10" s="1" t="s">
        <v>132</v>
      </c>
      <c r="C10" s="115">
        <v>150</v>
      </c>
      <c r="D10" s="100">
        <v>183</v>
      </c>
      <c r="E10" s="122" t="s">
        <v>58</v>
      </c>
      <c r="F10" s="144">
        <v>150</v>
      </c>
      <c r="G10" s="132">
        <v>96</v>
      </c>
      <c r="H10" s="140" t="s">
        <v>179</v>
      </c>
      <c r="I10" s="115">
        <v>90</v>
      </c>
    </row>
    <row r="11" spans="1:9" ht="15.75" x14ac:dyDescent="0.25">
      <c r="A11" s="100">
        <v>289</v>
      </c>
      <c r="B11" s="4" t="s">
        <v>29</v>
      </c>
      <c r="C11" s="101">
        <v>200</v>
      </c>
      <c r="D11" s="100">
        <v>311</v>
      </c>
      <c r="E11" s="12" t="s">
        <v>25</v>
      </c>
      <c r="F11" s="116">
        <v>200</v>
      </c>
      <c r="G11" s="132">
        <v>187</v>
      </c>
      <c r="H11" s="30" t="s">
        <v>22</v>
      </c>
      <c r="I11" s="115">
        <v>150</v>
      </c>
    </row>
    <row r="12" spans="1:9" ht="15.75" x14ac:dyDescent="0.25">
      <c r="A12" s="104" t="s">
        <v>38</v>
      </c>
      <c r="B12" s="13" t="s">
        <v>123</v>
      </c>
      <c r="C12" s="101">
        <v>30</v>
      </c>
      <c r="D12" s="104" t="s">
        <v>38</v>
      </c>
      <c r="E12" s="4" t="s">
        <v>5</v>
      </c>
      <c r="F12" s="101">
        <v>30</v>
      </c>
      <c r="G12" s="132">
        <v>310</v>
      </c>
      <c r="H12" s="30" t="s">
        <v>29</v>
      </c>
      <c r="I12" s="101">
        <v>200</v>
      </c>
    </row>
    <row r="13" spans="1:9" ht="16.5" thickBot="1" x14ac:dyDescent="0.3">
      <c r="A13" s="104" t="s">
        <v>37</v>
      </c>
      <c r="B13" s="4" t="s">
        <v>5</v>
      </c>
      <c r="C13" s="101">
        <v>30</v>
      </c>
      <c r="D13" s="108"/>
      <c r="E13" s="109" t="s">
        <v>20</v>
      </c>
      <c r="F13" s="110">
        <f t="shared" ref="F13" si="2">SUM(F8:F12)</f>
        <v>700</v>
      </c>
      <c r="G13" s="137" t="s">
        <v>38</v>
      </c>
      <c r="H13" s="30" t="s">
        <v>5</v>
      </c>
      <c r="I13" s="101">
        <v>30</v>
      </c>
    </row>
    <row r="14" spans="1:9" ht="16.5" thickBot="1" x14ac:dyDescent="0.3">
      <c r="A14" s="108"/>
      <c r="B14" s="109" t="s">
        <v>20</v>
      </c>
      <c r="C14" s="110">
        <f>SUM(C8:C13)</f>
        <v>700</v>
      </c>
      <c r="G14" s="145"/>
      <c r="H14" s="130" t="s">
        <v>20</v>
      </c>
      <c r="I14" s="110">
        <f t="shared" ref="I14" si="3">SUM(I8:I13)</f>
        <v>700</v>
      </c>
    </row>
    <row r="15" spans="1:9" ht="16.5" thickBot="1" x14ac:dyDescent="0.3">
      <c r="B15" s="90"/>
      <c r="C15" s="91"/>
    </row>
    <row r="16" spans="1:9" ht="15.75" x14ac:dyDescent="0.25">
      <c r="A16" s="59">
        <v>258</v>
      </c>
      <c r="B16" s="112" t="s">
        <v>127</v>
      </c>
      <c r="C16" s="139"/>
      <c r="D16" s="132">
        <v>183</v>
      </c>
      <c r="E16" s="112" t="s">
        <v>128</v>
      </c>
      <c r="F16" s="139"/>
    </row>
    <row r="17" spans="1:9" ht="15.75" x14ac:dyDescent="0.25">
      <c r="A17" s="59">
        <v>300</v>
      </c>
      <c r="B17" s="30" t="s">
        <v>135</v>
      </c>
      <c r="C17" s="101">
        <v>120</v>
      </c>
      <c r="D17" s="132">
        <v>136</v>
      </c>
      <c r="E17" s="30" t="s">
        <v>58</v>
      </c>
      <c r="F17" s="101">
        <v>150</v>
      </c>
    </row>
    <row r="18" spans="1:9" ht="15.75" x14ac:dyDescent="0.25">
      <c r="A18" s="59" t="s">
        <v>36</v>
      </c>
      <c r="B18" s="30" t="s">
        <v>120</v>
      </c>
      <c r="C18" s="101">
        <v>50</v>
      </c>
      <c r="D18" s="132">
        <v>313</v>
      </c>
      <c r="E18" s="30" t="s">
        <v>90</v>
      </c>
      <c r="F18" s="101">
        <v>90</v>
      </c>
    </row>
    <row r="19" spans="1:9" ht="15.75" x14ac:dyDescent="0.25">
      <c r="A19" s="59" t="s">
        <v>36</v>
      </c>
      <c r="B19" s="126" t="s">
        <v>26</v>
      </c>
      <c r="C19" s="101">
        <v>200</v>
      </c>
      <c r="D19" s="132" t="s">
        <v>36</v>
      </c>
      <c r="E19" s="30" t="s">
        <v>56</v>
      </c>
      <c r="F19" s="101">
        <v>200</v>
      </c>
    </row>
    <row r="20" spans="1:9" ht="15.75" x14ac:dyDescent="0.25">
      <c r="A20" s="145"/>
      <c r="B20" s="30" t="s">
        <v>31</v>
      </c>
      <c r="C20" s="103">
        <v>80</v>
      </c>
      <c r="D20" s="111"/>
      <c r="E20" s="127" t="s">
        <v>33</v>
      </c>
      <c r="F20" s="103">
        <v>60</v>
      </c>
    </row>
    <row r="21" spans="1:9" ht="15.75" x14ac:dyDescent="0.25">
      <c r="A21" s="85" t="s">
        <v>11</v>
      </c>
      <c r="B21" s="30" t="s">
        <v>72</v>
      </c>
      <c r="C21" s="101">
        <v>50</v>
      </c>
      <c r="D21" s="84" t="s">
        <v>11</v>
      </c>
      <c r="E21" s="128" t="s">
        <v>20</v>
      </c>
      <c r="F21" s="106">
        <f>SUM(F17:F20)</f>
        <v>500</v>
      </c>
    </row>
    <row r="22" spans="1:9" ht="15.75" x14ac:dyDescent="0.25">
      <c r="A22" s="59">
        <v>56</v>
      </c>
      <c r="B22" s="128" t="s">
        <v>20</v>
      </c>
      <c r="C22" s="106">
        <f>SUM(C17:C21)</f>
        <v>500</v>
      </c>
      <c r="D22" s="132">
        <v>58</v>
      </c>
      <c r="E22" s="141"/>
      <c r="F22" s="118"/>
      <c r="H22" s="94"/>
      <c r="I22" s="92"/>
    </row>
    <row r="23" spans="1:9" ht="15.75" x14ac:dyDescent="0.25">
      <c r="A23" s="59">
        <v>110</v>
      </c>
      <c r="B23" s="148" t="s">
        <v>121</v>
      </c>
      <c r="C23" s="149"/>
      <c r="D23" s="132">
        <v>158</v>
      </c>
      <c r="E23" s="120" t="s">
        <v>121</v>
      </c>
      <c r="F23" s="107"/>
      <c r="H23" s="95"/>
      <c r="I23" s="96"/>
    </row>
    <row r="24" spans="1:9" ht="15.75" x14ac:dyDescent="0.25">
      <c r="A24" s="59">
        <v>227</v>
      </c>
      <c r="B24" s="142" t="s">
        <v>117</v>
      </c>
      <c r="C24" s="102">
        <v>230</v>
      </c>
      <c r="D24" s="132">
        <v>183</v>
      </c>
      <c r="E24" s="142" t="s">
        <v>30</v>
      </c>
      <c r="F24" s="102">
        <v>230</v>
      </c>
    </row>
    <row r="25" spans="1:9" ht="15.75" x14ac:dyDescent="0.25">
      <c r="A25" s="59">
        <v>310</v>
      </c>
      <c r="B25" s="143" t="s">
        <v>35</v>
      </c>
      <c r="C25" s="102">
        <v>90</v>
      </c>
      <c r="D25" s="132">
        <v>314</v>
      </c>
      <c r="E25" s="23" t="s">
        <v>180</v>
      </c>
      <c r="F25" s="103">
        <v>90</v>
      </c>
      <c r="H25" s="195"/>
      <c r="I25" s="196"/>
    </row>
    <row r="26" spans="1:9" ht="15.75" x14ac:dyDescent="0.25">
      <c r="A26" s="147" t="s">
        <v>38</v>
      </c>
      <c r="B26" s="30" t="s">
        <v>88</v>
      </c>
      <c r="C26" s="101">
        <v>150</v>
      </c>
      <c r="D26" s="137" t="s">
        <v>38</v>
      </c>
      <c r="E26" s="140" t="s">
        <v>181</v>
      </c>
      <c r="F26" s="115">
        <v>150</v>
      </c>
    </row>
    <row r="27" spans="1:9" ht="15.75" x14ac:dyDescent="0.25">
      <c r="A27" s="59"/>
      <c r="B27" s="129" t="s">
        <v>29</v>
      </c>
      <c r="C27" s="101">
        <v>200</v>
      </c>
      <c r="D27" s="138"/>
      <c r="E27" s="129" t="s">
        <v>60</v>
      </c>
      <c r="F27" s="116">
        <v>200</v>
      </c>
    </row>
    <row r="28" spans="1:9" ht="15.75" x14ac:dyDescent="0.25">
      <c r="B28" s="30" t="s">
        <v>5</v>
      </c>
      <c r="C28" s="101">
        <v>30</v>
      </c>
      <c r="E28" s="30" t="s">
        <v>5</v>
      </c>
      <c r="F28" s="101">
        <v>30</v>
      </c>
    </row>
    <row r="29" spans="1:9" ht="16.5" thickBot="1" x14ac:dyDescent="0.3">
      <c r="B29" s="130" t="s">
        <v>20</v>
      </c>
      <c r="C29" s="110">
        <f t="shared" ref="C29" si="4">SUM(C24:C28)</f>
        <v>700</v>
      </c>
      <c r="E29" s="130" t="s">
        <v>20</v>
      </c>
      <c r="F29" s="110">
        <f>SUM(F24:F28)</f>
        <v>700</v>
      </c>
    </row>
    <row r="33" spans="2:3" hidden="1" x14ac:dyDescent="0.2">
      <c r="B33" t="s">
        <v>92</v>
      </c>
      <c r="C33" t="s">
        <v>95</v>
      </c>
    </row>
    <row r="34" spans="2:3" hidden="1" x14ac:dyDescent="0.2">
      <c r="B34" t="s">
        <v>94</v>
      </c>
      <c r="C34" t="s">
        <v>95</v>
      </c>
    </row>
    <row r="35" spans="2:3" hidden="1" x14ac:dyDescent="0.2">
      <c r="B35" t="s">
        <v>96</v>
      </c>
      <c r="C35" t="s">
        <v>95</v>
      </c>
    </row>
    <row r="36" spans="2:3" hidden="1" x14ac:dyDescent="0.2">
      <c r="B36" t="s">
        <v>97</v>
      </c>
      <c r="C36" t="s">
        <v>182</v>
      </c>
    </row>
    <row r="37" spans="2:3" hidden="1" x14ac:dyDescent="0.2">
      <c r="B37" t="s">
        <v>98</v>
      </c>
      <c r="C37" t="s">
        <v>95</v>
      </c>
    </row>
    <row r="38" spans="2:3" hidden="1" x14ac:dyDescent="0.2">
      <c r="B38" t="s">
        <v>99</v>
      </c>
      <c r="C38" t="s">
        <v>95</v>
      </c>
    </row>
    <row r="39" spans="2:3" hidden="1" x14ac:dyDescent="0.2">
      <c r="B39" t="s">
        <v>100</v>
      </c>
      <c r="C39" t="s">
        <v>95</v>
      </c>
    </row>
    <row r="40" spans="2:3" hidden="1" x14ac:dyDescent="0.2">
      <c r="B40" t="s">
        <v>183</v>
      </c>
      <c r="C40" t="s">
        <v>95</v>
      </c>
    </row>
    <row r="41" spans="2:3" hidden="1" x14ac:dyDescent="0.2">
      <c r="B41" t="s">
        <v>131</v>
      </c>
      <c r="C41" t="s">
        <v>95</v>
      </c>
    </row>
    <row r="42" spans="2:3" hidden="1" x14ac:dyDescent="0.2">
      <c r="B42" t="s">
        <v>152</v>
      </c>
      <c r="C42" t="s">
        <v>95</v>
      </c>
    </row>
  </sheetData>
  <mergeCells count="2">
    <mergeCell ref="A7:B7"/>
    <mergeCell ref="D7:E7"/>
  </mergeCells>
  <pageMargins left="0.11811023622047245" right="0.11811023622047245" top="0.19685039370078741" bottom="0.15748031496062992" header="0.31496062992125984" footer="0.31496062992125984"/>
  <pageSetup paperSize="9" scale="9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workbookViewId="0">
      <selection activeCell="J16" sqref="J16"/>
    </sheetView>
  </sheetViews>
  <sheetFormatPr defaultRowHeight="15" x14ac:dyDescent="0.2"/>
  <cols>
    <col min="1" max="1" width="10" style="39" customWidth="1"/>
    <col min="2" max="2" width="57" style="11" customWidth="1"/>
    <col min="3" max="3" width="9.5703125" style="50" customWidth="1"/>
    <col min="4" max="4" width="15.42578125" style="36" hidden="1" customWidth="1"/>
    <col min="5" max="5" width="9.42578125" style="11" customWidth="1"/>
    <col min="6" max="7" width="10.7109375" style="11" customWidth="1"/>
    <col min="8" max="8" width="11.85546875" style="11" customWidth="1"/>
    <col min="9" max="16384" width="9.140625" style="11"/>
  </cols>
  <sheetData>
    <row r="1" spans="1:8" ht="15" customHeight="1" x14ac:dyDescent="0.2">
      <c r="B1" s="337" t="s">
        <v>86</v>
      </c>
      <c r="C1" s="337"/>
      <c r="D1" s="337"/>
      <c r="E1" s="337"/>
      <c r="F1" s="337"/>
      <c r="G1" s="337"/>
      <c r="H1" s="38"/>
    </row>
    <row r="2" spans="1:8" x14ac:dyDescent="0.2">
      <c r="B2" s="338"/>
      <c r="C2" s="338"/>
      <c r="D2" s="338"/>
      <c r="E2" s="338"/>
      <c r="F2" s="338"/>
      <c r="G2" s="338"/>
    </row>
    <row r="3" spans="1:8" ht="15.75" customHeight="1" x14ac:dyDescent="0.2">
      <c r="A3" s="361" t="s">
        <v>14</v>
      </c>
      <c r="B3" s="360" t="s">
        <v>13</v>
      </c>
      <c r="C3" s="362" t="s">
        <v>6</v>
      </c>
      <c r="D3" s="348" t="s">
        <v>27</v>
      </c>
      <c r="E3" s="335" t="s">
        <v>7</v>
      </c>
      <c r="F3" s="335"/>
      <c r="G3" s="335"/>
      <c r="H3" s="359" t="s">
        <v>8</v>
      </c>
    </row>
    <row r="4" spans="1:8" ht="15.75" customHeight="1" x14ac:dyDescent="0.2">
      <c r="A4" s="361"/>
      <c r="B4" s="360"/>
      <c r="C4" s="362"/>
      <c r="D4" s="348"/>
      <c r="E4" s="335"/>
      <c r="F4" s="335"/>
      <c r="G4" s="335"/>
      <c r="H4" s="359"/>
    </row>
    <row r="5" spans="1:8" ht="15" customHeight="1" x14ac:dyDescent="0.2">
      <c r="A5" s="361"/>
      <c r="B5" s="360"/>
      <c r="C5" s="362"/>
      <c r="D5" s="348"/>
      <c r="E5" s="360" t="s">
        <v>2</v>
      </c>
      <c r="F5" s="360" t="s">
        <v>3</v>
      </c>
      <c r="G5" s="360" t="s">
        <v>4</v>
      </c>
      <c r="H5" s="359"/>
    </row>
    <row r="6" spans="1:8" ht="15" customHeight="1" x14ac:dyDescent="0.2">
      <c r="A6" s="361"/>
      <c r="B6" s="360"/>
      <c r="C6" s="362"/>
      <c r="D6" s="348"/>
      <c r="E6" s="360"/>
      <c r="F6" s="360"/>
      <c r="G6" s="360"/>
      <c r="H6" s="359"/>
    </row>
    <row r="7" spans="1:8" ht="33" customHeight="1" x14ac:dyDescent="0.2">
      <c r="A7" s="361"/>
      <c r="B7" s="360"/>
      <c r="C7" s="362"/>
      <c r="D7" s="348"/>
      <c r="E7" s="360"/>
      <c r="F7" s="360"/>
      <c r="G7" s="360"/>
      <c r="H7" s="359"/>
    </row>
    <row r="8" spans="1:8" ht="18.75" customHeight="1" x14ac:dyDescent="0.2">
      <c r="A8" s="331" t="s">
        <v>15</v>
      </c>
      <c r="B8" s="332"/>
      <c r="C8" s="48"/>
      <c r="D8" s="21"/>
      <c r="E8" s="21"/>
      <c r="F8" s="21"/>
      <c r="G8" s="21"/>
      <c r="H8" s="21"/>
    </row>
    <row r="9" spans="1:8" ht="18" customHeight="1" x14ac:dyDescent="0.2">
      <c r="A9" s="336" t="s">
        <v>10</v>
      </c>
      <c r="B9" s="336"/>
      <c r="C9" s="76"/>
      <c r="D9" s="34"/>
      <c r="E9" s="16"/>
      <c r="F9" s="10"/>
      <c r="G9" s="16"/>
      <c r="H9" s="16"/>
    </row>
    <row r="10" spans="1:8" ht="18" customHeight="1" x14ac:dyDescent="0.25">
      <c r="A10" s="41">
        <v>193</v>
      </c>
      <c r="B10" s="25" t="s">
        <v>61</v>
      </c>
      <c r="C10" s="46">
        <v>250</v>
      </c>
      <c r="D10" s="37">
        <f>(24.66+1.97)/205*200-1.35</f>
        <v>24.630487804878047</v>
      </c>
      <c r="E10" s="15">
        <v>8.2716049382716061</v>
      </c>
      <c r="F10" s="15">
        <v>12.744938271604934</v>
      </c>
      <c r="G10" s="15">
        <v>40.246913580246911</v>
      </c>
      <c r="H10" s="15">
        <v>308.77777777777777</v>
      </c>
    </row>
    <row r="11" spans="1:8" ht="18" customHeight="1" x14ac:dyDescent="0.25">
      <c r="A11" s="41">
        <v>300</v>
      </c>
      <c r="B11" s="23" t="s">
        <v>26</v>
      </c>
      <c r="C11" s="51">
        <v>200</v>
      </c>
      <c r="D11" s="19">
        <v>6.9</v>
      </c>
      <c r="E11" s="4">
        <v>0.1</v>
      </c>
      <c r="F11" s="4">
        <v>0</v>
      </c>
      <c r="G11" s="4">
        <v>15.2</v>
      </c>
      <c r="H11" s="4">
        <v>61</v>
      </c>
    </row>
    <row r="12" spans="1:8" ht="18" customHeight="1" x14ac:dyDescent="0.25">
      <c r="A12" s="44" t="s">
        <v>37</v>
      </c>
      <c r="B12" s="4" t="s">
        <v>0</v>
      </c>
      <c r="C12" s="46">
        <v>50</v>
      </c>
      <c r="D12" s="19">
        <v>2</v>
      </c>
      <c r="E12" s="4">
        <f>7.9/100*30</f>
        <v>2.37</v>
      </c>
      <c r="F12" s="4">
        <f>1/100*30</f>
        <v>0.3</v>
      </c>
      <c r="G12" s="4">
        <f>48.3/100*30</f>
        <v>14.49</v>
      </c>
      <c r="H12" s="4">
        <v>70.14</v>
      </c>
    </row>
    <row r="13" spans="1:8" ht="18" customHeight="1" x14ac:dyDescent="0.25">
      <c r="A13" s="41" t="s">
        <v>36</v>
      </c>
      <c r="B13" s="13" t="s">
        <v>31</v>
      </c>
      <c r="C13" s="52">
        <v>50</v>
      </c>
      <c r="D13" s="37">
        <f>14.3-1.25</f>
        <v>13.05</v>
      </c>
      <c r="E13" s="17">
        <v>0.85050000000000014</v>
      </c>
      <c r="F13" s="17">
        <v>0.189</v>
      </c>
      <c r="G13" s="17">
        <v>0.76649999999999996</v>
      </c>
      <c r="H13" s="17">
        <v>8.1690000000000005</v>
      </c>
    </row>
    <row r="14" spans="1:8" s="7" customFormat="1" ht="18" customHeight="1" x14ac:dyDescent="0.25">
      <c r="A14" s="42"/>
      <c r="B14" s="9" t="s">
        <v>20</v>
      </c>
      <c r="C14" s="45">
        <f t="shared" ref="C14:H14" si="0">SUM(C10:C13)</f>
        <v>550</v>
      </c>
      <c r="D14" s="33">
        <f t="shared" si="0"/>
        <v>46.580487804878047</v>
      </c>
      <c r="E14" s="33">
        <f t="shared" si="0"/>
        <v>11.592104938271607</v>
      </c>
      <c r="F14" s="33">
        <f t="shared" si="0"/>
        <v>13.233938271604934</v>
      </c>
      <c r="G14" s="33">
        <f t="shared" si="0"/>
        <v>70.703413580246902</v>
      </c>
      <c r="H14" s="33">
        <f t="shared" si="0"/>
        <v>448.08677777777774</v>
      </c>
    </row>
    <row r="15" spans="1:8" ht="18" customHeight="1" x14ac:dyDescent="0.2">
      <c r="A15" s="333" t="s">
        <v>11</v>
      </c>
      <c r="B15" s="334"/>
      <c r="C15" s="49"/>
      <c r="D15" s="34"/>
      <c r="E15" s="16"/>
      <c r="F15" s="16"/>
      <c r="G15" s="16"/>
      <c r="H15" s="16"/>
    </row>
    <row r="16" spans="1:8" ht="18" customHeight="1" x14ac:dyDescent="0.25">
      <c r="A16" s="41">
        <v>56</v>
      </c>
      <c r="B16" s="18" t="s">
        <v>30</v>
      </c>
      <c r="C16" s="51">
        <v>250</v>
      </c>
      <c r="D16" s="19">
        <f>30/250*200</f>
        <v>24</v>
      </c>
      <c r="E16" s="24">
        <v>2.4</v>
      </c>
      <c r="F16" s="24">
        <v>5</v>
      </c>
      <c r="G16" s="24">
        <v>15.7</v>
      </c>
      <c r="H16" s="24">
        <v>123</v>
      </c>
    </row>
    <row r="17" spans="1:8" ht="18" customHeight="1" x14ac:dyDescent="0.25">
      <c r="A17" s="41">
        <v>136</v>
      </c>
      <c r="B17" s="23" t="s">
        <v>43</v>
      </c>
      <c r="C17" s="52">
        <v>100</v>
      </c>
      <c r="D17" s="37">
        <v>35.049999999999997</v>
      </c>
      <c r="E17" s="19">
        <v>8.5</v>
      </c>
      <c r="F17" s="19">
        <f>19.3-12</f>
        <v>7.3000000000000007</v>
      </c>
      <c r="G17" s="19">
        <v>8.9</v>
      </c>
      <c r="H17" s="19">
        <v>135.30000000000001</v>
      </c>
    </row>
    <row r="18" spans="1:8" ht="18" customHeight="1" x14ac:dyDescent="0.25">
      <c r="A18" s="41">
        <v>227</v>
      </c>
      <c r="B18" s="60" t="s">
        <v>34</v>
      </c>
      <c r="C18" s="51">
        <v>180</v>
      </c>
      <c r="D18" s="19">
        <v>17.829999999999998</v>
      </c>
      <c r="E18" s="28">
        <v>6.6666666666666696</v>
      </c>
      <c r="F18" s="28">
        <v>5.8666666666666671</v>
      </c>
      <c r="G18" s="28">
        <f>53.3333333333333-28</f>
        <v>25.3333333333333</v>
      </c>
      <c r="H18" s="28">
        <v>180.8</v>
      </c>
    </row>
    <row r="19" spans="1:8" ht="18" customHeight="1" x14ac:dyDescent="0.25">
      <c r="A19" s="41">
        <v>320</v>
      </c>
      <c r="B19" s="13" t="s">
        <v>28</v>
      </c>
      <c r="C19" s="52">
        <v>200</v>
      </c>
      <c r="D19" s="37">
        <v>15</v>
      </c>
      <c r="E19" s="13">
        <v>0.99</v>
      </c>
      <c r="F19" s="13"/>
      <c r="G19" s="13">
        <v>22.94</v>
      </c>
      <c r="H19" s="13">
        <v>95.72</v>
      </c>
    </row>
    <row r="20" spans="1:8" ht="18" customHeight="1" x14ac:dyDescent="0.25">
      <c r="A20" s="44" t="s">
        <v>38</v>
      </c>
      <c r="B20" s="4" t="s">
        <v>74</v>
      </c>
      <c r="C20" s="46">
        <v>70</v>
      </c>
      <c r="D20" s="37">
        <v>3.54</v>
      </c>
      <c r="E20" s="2">
        <f>6.6/100*30</f>
        <v>1.98</v>
      </c>
      <c r="F20" s="47">
        <f>1.2/100*30</f>
        <v>0.36</v>
      </c>
      <c r="G20" s="2">
        <f>33.4/100*30</f>
        <v>10.02</v>
      </c>
      <c r="H20" s="2">
        <v>51.24</v>
      </c>
    </row>
    <row r="21" spans="1:8" s="8" customFormat="1" ht="18" customHeight="1" x14ac:dyDescent="0.25">
      <c r="A21" s="43"/>
      <c r="B21" s="9" t="s">
        <v>20</v>
      </c>
      <c r="C21" s="45">
        <f t="shared" ref="C21:H21" si="1">SUM(C16:C20)</f>
        <v>800</v>
      </c>
      <c r="D21" s="33">
        <f t="shared" si="1"/>
        <v>95.42</v>
      </c>
      <c r="E21" s="33">
        <f t="shared" si="1"/>
        <v>20.536666666666669</v>
      </c>
      <c r="F21" s="33">
        <f t="shared" si="1"/>
        <v>18.526666666666667</v>
      </c>
      <c r="G21" s="33">
        <f t="shared" si="1"/>
        <v>82.893333333333302</v>
      </c>
      <c r="H21" s="33">
        <f t="shared" si="1"/>
        <v>586.06000000000006</v>
      </c>
    </row>
    <row r="22" spans="1:8" s="8" customFormat="1" ht="18" customHeight="1" x14ac:dyDescent="0.25">
      <c r="A22" s="43"/>
      <c r="B22" s="3" t="s">
        <v>9</v>
      </c>
      <c r="C22" s="45"/>
      <c r="D22" s="33">
        <f>D14+D21</f>
        <v>142.00048780487805</v>
      </c>
      <c r="E22" s="33">
        <f>E14+E21</f>
        <v>32.128771604938279</v>
      </c>
      <c r="F22" s="33">
        <f>F14+F21</f>
        <v>31.760604938271602</v>
      </c>
      <c r="G22" s="33">
        <f>G14+G21</f>
        <v>153.5967469135802</v>
      </c>
      <c r="H22" s="33">
        <f>H14+H21</f>
        <v>1034.1467777777777</v>
      </c>
    </row>
    <row r="23" spans="1:8" s="8" customFormat="1" ht="18" customHeight="1" x14ac:dyDescent="0.25">
      <c r="A23" s="79"/>
      <c r="B23" s="21"/>
      <c r="C23" s="80"/>
      <c r="D23" s="81"/>
      <c r="E23" s="81"/>
      <c r="F23" s="81"/>
      <c r="G23" s="81"/>
      <c r="H23" s="81"/>
    </row>
    <row r="24" spans="1:8" ht="18" customHeight="1" x14ac:dyDescent="0.2">
      <c r="A24" s="331" t="s">
        <v>16</v>
      </c>
      <c r="B24" s="332"/>
      <c r="C24" s="48"/>
      <c r="D24" s="21"/>
      <c r="E24" s="21"/>
      <c r="F24" s="21"/>
      <c r="G24" s="21"/>
      <c r="H24" s="21"/>
    </row>
    <row r="25" spans="1:8" ht="18" customHeight="1" x14ac:dyDescent="0.2">
      <c r="A25" s="330" t="s">
        <v>10</v>
      </c>
      <c r="B25" s="330"/>
      <c r="C25" s="40"/>
      <c r="D25" s="34"/>
      <c r="E25" s="16"/>
      <c r="F25" s="16"/>
      <c r="G25" s="16"/>
      <c r="H25" s="16"/>
    </row>
    <row r="26" spans="1:8" s="8" customFormat="1" ht="18" customHeight="1" x14ac:dyDescent="0.25">
      <c r="A26" s="41">
        <v>241</v>
      </c>
      <c r="B26" s="25" t="s">
        <v>76</v>
      </c>
      <c r="C26" s="46">
        <v>200</v>
      </c>
      <c r="D26" s="68">
        <v>52.59</v>
      </c>
      <c r="E26" s="71">
        <v>11.6</v>
      </c>
      <c r="F26" s="71">
        <v>4.2</v>
      </c>
      <c r="G26" s="71">
        <v>7.2</v>
      </c>
      <c r="H26" s="71">
        <v>113</v>
      </c>
    </row>
    <row r="27" spans="1:8" ht="18" customHeight="1" x14ac:dyDescent="0.25">
      <c r="A27" s="41">
        <v>313</v>
      </c>
      <c r="B27" s="4" t="s">
        <v>56</v>
      </c>
      <c r="C27" s="46">
        <v>200</v>
      </c>
      <c r="D27" s="68">
        <v>8.9</v>
      </c>
      <c r="E27" s="71">
        <v>0.1</v>
      </c>
      <c r="F27" s="71">
        <v>0</v>
      </c>
      <c r="G27" s="71">
        <v>15.2</v>
      </c>
      <c r="H27" s="71">
        <v>61</v>
      </c>
    </row>
    <row r="28" spans="1:8" ht="18" customHeight="1" x14ac:dyDescent="0.25">
      <c r="A28" s="41">
        <v>289</v>
      </c>
      <c r="B28" s="13" t="s">
        <v>75</v>
      </c>
      <c r="C28" s="46">
        <v>150</v>
      </c>
      <c r="D28" s="37">
        <v>5.71</v>
      </c>
      <c r="E28" s="4">
        <v>3.9</v>
      </c>
      <c r="F28" s="4">
        <v>1.5</v>
      </c>
      <c r="G28" s="4">
        <v>32.200000000000003</v>
      </c>
      <c r="H28" s="4">
        <v>157.9</v>
      </c>
    </row>
    <row r="29" spans="1:8" ht="18" customHeight="1" x14ac:dyDescent="0.25">
      <c r="A29" s="43"/>
      <c r="B29" s="9" t="s">
        <v>20</v>
      </c>
      <c r="C29" s="45">
        <f t="shared" ref="C29:H29" si="2">SUM(C26:C28)</f>
        <v>550</v>
      </c>
      <c r="D29" s="33">
        <f t="shared" si="2"/>
        <v>67.2</v>
      </c>
      <c r="E29" s="33">
        <f t="shared" si="2"/>
        <v>15.6</v>
      </c>
      <c r="F29" s="33">
        <f t="shared" si="2"/>
        <v>5.7</v>
      </c>
      <c r="G29" s="33">
        <f t="shared" si="2"/>
        <v>54.6</v>
      </c>
      <c r="H29" s="33">
        <f t="shared" si="2"/>
        <v>331.9</v>
      </c>
    </row>
    <row r="30" spans="1:8" ht="18" customHeight="1" x14ac:dyDescent="0.2">
      <c r="A30" s="334" t="s">
        <v>11</v>
      </c>
      <c r="B30" s="334"/>
      <c r="C30" s="32"/>
      <c r="D30" s="34"/>
      <c r="E30" s="16"/>
      <c r="F30" s="16"/>
      <c r="G30" s="16"/>
      <c r="H30" s="16"/>
    </row>
    <row r="31" spans="1:8" ht="18" customHeight="1" x14ac:dyDescent="0.25">
      <c r="A31" s="41">
        <v>58</v>
      </c>
      <c r="B31" s="22" t="s">
        <v>41</v>
      </c>
      <c r="C31" s="54">
        <v>250</v>
      </c>
      <c r="D31" s="37">
        <f>13.98+0.41</f>
        <v>14.39</v>
      </c>
      <c r="E31" s="13">
        <v>2</v>
      </c>
      <c r="F31" s="13">
        <v>9.4</v>
      </c>
      <c r="G31" s="13">
        <v>17.8</v>
      </c>
      <c r="H31" s="13">
        <v>163.80000000000001</v>
      </c>
    </row>
    <row r="32" spans="1:8" ht="18" customHeight="1" x14ac:dyDescent="0.25">
      <c r="A32" s="41">
        <v>107</v>
      </c>
      <c r="B32" s="23" t="s">
        <v>81</v>
      </c>
      <c r="C32" s="52">
        <v>90</v>
      </c>
      <c r="D32" s="19">
        <v>34.75</v>
      </c>
      <c r="E32" s="20">
        <v>8</v>
      </c>
      <c r="F32" s="20">
        <v>7.2</v>
      </c>
      <c r="G32" s="20">
        <v>6.3</v>
      </c>
      <c r="H32" s="20">
        <v>123</v>
      </c>
    </row>
    <row r="33" spans="1:8" ht="18" customHeight="1" x14ac:dyDescent="0.25">
      <c r="A33" s="41">
        <v>187</v>
      </c>
      <c r="B33" s="4" t="s">
        <v>22</v>
      </c>
      <c r="C33" s="26">
        <v>180</v>
      </c>
      <c r="D33" s="19">
        <v>9.7200000000000006</v>
      </c>
      <c r="E33" s="14">
        <v>4.4000000000000004</v>
      </c>
      <c r="F33" s="14">
        <v>4.7</v>
      </c>
      <c r="G33" s="14">
        <v>45</v>
      </c>
      <c r="H33" s="14">
        <v>239.9</v>
      </c>
    </row>
    <row r="34" spans="1:8" s="8" customFormat="1" ht="18" customHeight="1" x14ac:dyDescent="0.25">
      <c r="A34" s="41">
        <v>311</v>
      </c>
      <c r="B34" s="12" t="s">
        <v>25</v>
      </c>
      <c r="C34" s="27">
        <v>200</v>
      </c>
      <c r="D34" s="19">
        <v>13.58</v>
      </c>
      <c r="E34" s="20">
        <v>0.2</v>
      </c>
      <c r="F34" s="20">
        <v>0.1</v>
      </c>
      <c r="G34" s="20">
        <v>17.2</v>
      </c>
      <c r="H34" s="12">
        <v>70</v>
      </c>
    </row>
    <row r="35" spans="1:8" s="8" customFormat="1" ht="18" customHeight="1" x14ac:dyDescent="0.25">
      <c r="A35" s="44" t="s">
        <v>38</v>
      </c>
      <c r="B35" s="4" t="s">
        <v>74</v>
      </c>
      <c r="C35" s="46">
        <v>80</v>
      </c>
      <c r="D35" s="37">
        <v>2.36</v>
      </c>
      <c r="E35" s="2">
        <f>6.6/100*30</f>
        <v>1.98</v>
      </c>
      <c r="F35" s="47">
        <f>1.2/100*30</f>
        <v>0.36</v>
      </c>
      <c r="G35" s="2">
        <f>33.4/100*30</f>
        <v>10.02</v>
      </c>
      <c r="H35" s="2">
        <v>51.24</v>
      </c>
    </row>
    <row r="36" spans="1:8" ht="18" customHeight="1" x14ac:dyDescent="0.25">
      <c r="A36" s="43"/>
      <c r="B36" s="9" t="s">
        <v>20</v>
      </c>
      <c r="C36" s="45">
        <f t="shared" ref="C36:H36" si="3">SUM(C31:C35)</f>
        <v>800</v>
      </c>
      <c r="D36" s="33">
        <f t="shared" si="3"/>
        <v>74.8</v>
      </c>
      <c r="E36" s="33">
        <f t="shared" si="3"/>
        <v>16.579999999999998</v>
      </c>
      <c r="F36" s="33">
        <f t="shared" si="3"/>
        <v>21.76</v>
      </c>
      <c r="G36" s="33">
        <f t="shared" si="3"/>
        <v>96.32</v>
      </c>
      <c r="H36" s="33">
        <f t="shared" si="3"/>
        <v>647.94000000000005</v>
      </c>
    </row>
    <row r="37" spans="1:8" ht="30" customHeight="1" x14ac:dyDescent="0.25">
      <c r="A37" s="43"/>
      <c r="B37" s="3" t="s">
        <v>9</v>
      </c>
      <c r="C37" s="45"/>
      <c r="D37" s="33">
        <f>D29+D36</f>
        <v>142</v>
      </c>
      <c r="E37" s="33">
        <f>E29+E36</f>
        <v>32.18</v>
      </c>
      <c r="F37" s="33">
        <f>F29+F36</f>
        <v>27.46</v>
      </c>
      <c r="G37" s="33">
        <f>G29+G36</f>
        <v>150.91999999999999</v>
      </c>
      <c r="H37" s="33">
        <f>H29+H36</f>
        <v>979.84</v>
      </c>
    </row>
    <row r="38" spans="1:8" ht="15.75" x14ac:dyDescent="0.2">
      <c r="A38" s="332" t="s">
        <v>17</v>
      </c>
      <c r="B38" s="332"/>
      <c r="C38" s="48"/>
      <c r="D38" s="21"/>
      <c r="E38" s="21"/>
      <c r="F38" s="21"/>
      <c r="G38" s="21"/>
      <c r="H38" s="21"/>
    </row>
    <row r="39" spans="1:8" ht="15.75" x14ac:dyDescent="0.2">
      <c r="A39" s="330" t="s">
        <v>12</v>
      </c>
      <c r="B39" s="330"/>
      <c r="C39" s="40"/>
      <c r="D39" s="34"/>
      <c r="E39" s="16"/>
      <c r="F39" s="16"/>
      <c r="G39" s="16"/>
      <c r="H39" s="16"/>
    </row>
    <row r="40" spans="1:8" ht="18" customHeight="1" x14ac:dyDescent="0.25">
      <c r="A40" s="41">
        <v>208</v>
      </c>
      <c r="B40" s="4" t="s">
        <v>40</v>
      </c>
      <c r="C40" s="46">
        <v>250</v>
      </c>
      <c r="D40" s="72">
        <f>24.95-0.8</f>
        <v>24.15</v>
      </c>
      <c r="E40" s="15">
        <v>8.2716049382716061</v>
      </c>
      <c r="F40" s="15">
        <v>12.744938271604934</v>
      </c>
      <c r="G40" s="15">
        <v>40.246913580246911</v>
      </c>
      <c r="H40" s="15">
        <v>308.77777777777777</v>
      </c>
    </row>
    <row r="41" spans="1:8" ht="18" customHeight="1" x14ac:dyDescent="0.25">
      <c r="A41" s="41">
        <v>300</v>
      </c>
      <c r="B41" s="23" t="s">
        <v>26</v>
      </c>
      <c r="C41" s="51">
        <v>200</v>
      </c>
      <c r="D41" s="73">
        <v>6.9</v>
      </c>
      <c r="E41" s="4">
        <v>0.1</v>
      </c>
      <c r="F41" s="4">
        <v>0</v>
      </c>
      <c r="G41" s="4">
        <v>15.2</v>
      </c>
      <c r="H41" s="4">
        <v>61</v>
      </c>
    </row>
    <row r="42" spans="1:8" ht="18" customHeight="1" x14ac:dyDescent="0.25">
      <c r="A42" s="41" t="s">
        <v>36</v>
      </c>
      <c r="B42" s="13" t="s">
        <v>33</v>
      </c>
      <c r="C42" s="52">
        <v>100</v>
      </c>
      <c r="D42" s="72">
        <v>14.3</v>
      </c>
      <c r="E42" s="17">
        <v>0.85050000000000014</v>
      </c>
      <c r="F42" s="17">
        <v>0.189</v>
      </c>
      <c r="G42" s="17">
        <v>0.76649999999999996</v>
      </c>
      <c r="H42" s="17">
        <v>8.1690000000000005</v>
      </c>
    </row>
    <row r="43" spans="1:8" ht="18" customHeight="1" x14ac:dyDescent="0.25">
      <c r="A43" s="42"/>
      <c r="B43" s="9" t="s">
        <v>20</v>
      </c>
      <c r="C43" s="45">
        <f t="shared" ref="C43:H43" si="4">SUM(C40:C42)</f>
        <v>550</v>
      </c>
      <c r="D43" s="74">
        <f t="shared" si="4"/>
        <v>45.349999999999994</v>
      </c>
      <c r="E43" s="33">
        <f t="shared" si="4"/>
        <v>9.222104938271606</v>
      </c>
      <c r="F43" s="33">
        <f t="shared" si="4"/>
        <v>12.933938271604934</v>
      </c>
      <c r="G43" s="33">
        <f t="shared" si="4"/>
        <v>56.213413580246915</v>
      </c>
      <c r="H43" s="33">
        <f t="shared" si="4"/>
        <v>377.94677777777775</v>
      </c>
    </row>
    <row r="44" spans="1:8" ht="18" customHeight="1" x14ac:dyDescent="0.2">
      <c r="A44" s="333" t="s">
        <v>11</v>
      </c>
      <c r="B44" s="334"/>
      <c r="C44" s="49"/>
      <c r="D44" s="75"/>
      <c r="E44" s="16"/>
      <c r="F44" s="16"/>
      <c r="G44" s="16"/>
      <c r="H44" s="16"/>
    </row>
    <row r="45" spans="1:8" ht="18" customHeight="1" x14ac:dyDescent="0.25">
      <c r="A45" s="44" t="s">
        <v>39</v>
      </c>
      <c r="B45" s="23" t="s">
        <v>21</v>
      </c>
      <c r="C45" s="53">
        <v>20</v>
      </c>
      <c r="D45" s="19">
        <f>7.38+0.12</f>
        <v>7.5</v>
      </c>
      <c r="E45" s="61">
        <v>0.6</v>
      </c>
      <c r="F45" s="61">
        <v>0.1</v>
      </c>
      <c r="G45" s="61">
        <v>1.9</v>
      </c>
      <c r="H45" s="61">
        <v>13</v>
      </c>
    </row>
    <row r="46" spans="1:8" ht="18" customHeight="1" x14ac:dyDescent="0.25">
      <c r="A46" s="41">
        <v>62</v>
      </c>
      <c r="B46" s="1" t="s">
        <v>32</v>
      </c>
      <c r="C46" s="26">
        <v>250</v>
      </c>
      <c r="D46" s="19">
        <f>16.54+3.14</f>
        <v>19.68</v>
      </c>
      <c r="E46" s="14">
        <v>5.8</v>
      </c>
      <c r="F46" s="14">
        <v>4.3</v>
      </c>
      <c r="G46" s="14">
        <v>27.8</v>
      </c>
      <c r="H46" s="4">
        <v>173.1</v>
      </c>
    </row>
    <row r="47" spans="1:8" ht="18" customHeight="1" x14ac:dyDescent="0.25">
      <c r="A47" s="41">
        <v>259</v>
      </c>
      <c r="B47" s="23" t="s">
        <v>65</v>
      </c>
      <c r="C47" s="51">
        <v>250</v>
      </c>
      <c r="D47" s="19">
        <f>46.38+2.16</f>
        <v>48.540000000000006</v>
      </c>
      <c r="E47" s="61">
        <v>14.5</v>
      </c>
      <c r="F47" s="61">
        <v>18.8</v>
      </c>
      <c r="G47" s="61">
        <v>42.87</v>
      </c>
      <c r="H47" s="61">
        <v>398.68</v>
      </c>
    </row>
    <row r="48" spans="1:8" s="8" customFormat="1" ht="18" customHeight="1" x14ac:dyDescent="0.25">
      <c r="A48" s="41">
        <v>314</v>
      </c>
      <c r="B48" s="12" t="s">
        <v>60</v>
      </c>
      <c r="C48" s="27">
        <v>200</v>
      </c>
      <c r="D48" s="19">
        <v>17.39</v>
      </c>
      <c r="E48" s="20">
        <v>0.2</v>
      </c>
      <c r="F48" s="20">
        <v>0.1</v>
      </c>
      <c r="G48" s="20">
        <v>17.2</v>
      </c>
      <c r="H48" s="12">
        <v>70</v>
      </c>
    </row>
    <row r="49" spans="1:8" s="8" customFormat="1" ht="18" customHeight="1" x14ac:dyDescent="0.25">
      <c r="A49" s="44" t="s">
        <v>38</v>
      </c>
      <c r="B49" s="4" t="s">
        <v>74</v>
      </c>
      <c r="C49" s="46">
        <v>80</v>
      </c>
      <c r="D49" s="37">
        <v>3.54</v>
      </c>
      <c r="E49" s="2">
        <f>6.6/100*30</f>
        <v>1.98</v>
      </c>
      <c r="F49" s="47">
        <f>1.2/100*30</f>
        <v>0.36</v>
      </c>
      <c r="G49" s="2">
        <f>33.4/100*30</f>
        <v>10.02</v>
      </c>
      <c r="H49" s="2">
        <v>51.24</v>
      </c>
    </row>
    <row r="50" spans="1:8" ht="18" customHeight="1" x14ac:dyDescent="0.25">
      <c r="A50" s="43"/>
      <c r="B50" s="9" t="s">
        <v>20</v>
      </c>
      <c r="C50" s="45">
        <f t="shared" ref="C50:H50" si="5">SUM(C45:C49)</f>
        <v>800</v>
      </c>
      <c r="D50" s="74">
        <f t="shared" si="5"/>
        <v>96.65</v>
      </c>
      <c r="E50" s="33">
        <f t="shared" si="5"/>
        <v>23.08</v>
      </c>
      <c r="F50" s="33">
        <f t="shared" si="5"/>
        <v>23.66</v>
      </c>
      <c r="G50" s="33">
        <f t="shared" si="5"/>
        <v>99.789999999999992</v>
      </c>
      <c r="H50" s="33">
        <f t="shared" si="5"/>
        <v>706.02</v>
      </c>
    </row>
    <row r="51" spans="1:8" ht="18" customHeight="1" x14ac:dyDescent="0.25">
      <c r="A51" s="43"/>
      <c r="B51" s="3" t="s">
        <v>9</v>
      </c>
      <c r="C51" s="45"/>
      <c r="D51" s="74">
        <f>D43+D50</f>
        <v>142</v>
      </c>
      <c r="E51" s="65">
        <f>E43+E50</f>
        <v>32.302104938271604</v>
      </c>
      <c r="F51" s="65">
        <f>F43+F50</f>
        <v>36.593938271604934</v>
      </c>
      <c r="G51" s="65">
        <f>G43+G50</f>
        <v>156.0034135802469</v>
      </c>
      <c r="H51" s="65">
        <f>H43+H50</f>
        <v>1083.9667777777777</v>
      </c>
    </row>
    <row r="52" spans="1:8" ht="18" customHeight="1" x14ac:dyDescent="0.2">
      <c r="A52" s="331" t="s">
        <v>18</v>
      </c>
      <c r="B52" s="332"/>
      <c r="C52" s="48"/>
      <c r="D52" s="21"/>
      <c r="E52" s="16"/>
      <c r="F52" s="16"/>
      <c r="G52" s="16"/>
      <c r="H52" s="21"/>
    </row>
    <row r="53" spans="1:8" ht="18" customHeight="1" x14ac:dyDescent="0.2">
      <c r="A53" s="330" t="s">
        <v>12</v>
      </c>
      <c r="B53" s="330"/>
      <c r="C53" s="40"/>
      <c r="D53" s="34"/>
      <c r="E53" s="10"/>
      <c r="F53" s="16"/>
      <c r="G53" s="10"/>
      <c r="H53" s="16"/>
    </row>
    <row r="54" spans="1:8" ht="18" customHeight="1" x14ac:dyDescent="0.25">
      <c r="A54" s="41">
        <v>208</v>
      </c>
      <c r="B54" s="4" t="s">
        <v>77</v>
      </c>
      <c r="C54" s="46">
        <v>255</v>
      </c>
      <c r="D54" s="37">
        <v>28.66</v>
      </c>
      <c r="E54" s="15">
        <v>8.5</v>
      </c>
      <c r="F54" s="15">
        <v>11.2</v>
      </c>
      <c r="G54" s="15">
        <v>36.1</v>
      </c>
      <c r="H54" s="15">
        <v>279.2</v>
      </c>
    </row>
    <row r="55" spans="1:8" ht="18" customHeight="1" x14ac:dyDescent="0.25">
      <c r="A55" s="41">
        <v>300</v>
      </c>
      <c r="B55" s="23" t="s">
        <v>26</v>
      </c>
      <c r="C55" s="51">
        <v>200</v>
      </c>
      <c r="D55" s="73">
        <v>6.9</v>
      </c>
      <c r="E55" s="4">
        <v>0.1</v>
      </c>
      <c r="F55" s="4">
        <v>0</v>
      </c>
      <c r="G55" s="4">
        <v>15.2</v>
      </c>
      <c r="H55" s="4">
        <v>61</v>
      </c>
    </row>
    <row r="56" spans="1:8" ht="18" customHeight="1" x14ac:dyDescent="0.25">
      <c r="A56" s="44" t="s">
        <v>37</v>
      </c>
      <c r="B56" s="4" t="s">
        <v>0</v>
      </c>
      <c r="C56" s="46">
        <v>50</v>
      </c>
      <c r="D56" s="19">
        <v>2</v>
      </c>
      <c r="E56" s="4">
        <f>7.9/100*30</f>
        <v>2.37</v>
      </c>
      <c r="F56" s="4">
        <f>1/100*30</f>
        <v>0.3</v>
      </c>
      <c r="G56" s="4">
        <f>48.3/100*30</f>
        <v>14.49</v>
      </c>
      <c r="H56" s="4">
        <v>70.14</v>
      </c>
    </row>
    <row r="57" spans="1:8" ht="18" customHeight="1" x14ac:dyDescent="0.25">
      <c r="A57" s="44" t="s">
        <v>78</v>
      </c>
      <c r="B57" s="4" t="s">
        <v>24</v>
      </c>
      <c r="C57" s="46">
        <v>45</v>
      </c>
      <c r="D57" s="19"/>
      <c r="E57" s="62">
        <v>2.2000000000000002</v>
      </c>
      <c r="F57" s="62">
        <v>2.6</v>
      </c>
      <c r="G57" s="62">
        <v>14</v>
      </c>
      <c r="H57" s="62">
        <v>84.4</v>
      </c>
    </row>
    <row r="58" spans="1:8" ht="18" customHeight="1" x14ac:dyDescent="0.25">
      <c r="A58" s="43"/>
      <c r="B58" s="9" t="s">
        <v>20</v>
      </c>
      <c r="C58" s="45">
        <f>SUM(C54:C57)</f>
        <v>550</v>
      </c>
      <c r="D58" s="33">
        <f>SUM(D54:D56)</f>
        <v>37.56</v>
      </c>
      <c r="E58" s="33">
        <f>SUM(E54:E56)</f>
        <v>10.969999999999999</v>
      </c>
      <c r="F58" s="33">
        <f>SUM(F54:F56)</f>
        <v>11.5</v>
      </c>
      <c r="G58" s="33">
        <f>SUM(G54:G56)</f>
        <v>65.789999999999992</v>
      </c>
      <c r="H58" s="33">
        <f>SUM(H54:H56)</f>
        <v>410.34</v>
      </c>
    </row>
    <row r="59" spans="1:8" ht="18" customHeight="1" x14ac:dyDescent="0.2">
      <c r="A59" s="333" t="s">
        <v>11</v>
      </c>
      <c r="B59" s="334"/>
      <c r="C59" s="49"/>
      <c r="D59" s="34"/>
      <c r="E59" s="16"/>
      <c r="F59" s="16"/>
      <c r="G59" s="16"/>
      <c r="H59" s="16"/>
    </row>
    <row r="60" spans="1:8" ht="18" customHeight="1" x14ac:dyDescent="0.25">
      <c r="A60" s="44" t="s">
        <v>39</v>
      </c>
      <c r="B60" s="23" t="s">
        <v>21</v>
      </c>
      <c r="C60" s="53">
        <v>20</v>
      </c>
      <c r="D60" s="19">
        <v>5.9</v>
      </c>
      <c r="E60" s="61">
        <v>0.6</v>
      </c>
      <c r="F60" s="61">
        <v>0.1</v>
      </c>
      <c r="G60" s="61">
        <v>1.9</v>
      </c>
      <c r="H60" s="61">
        <v>13</v>
      </c>
    </row>
    <row r="61" spans="1:8" ht="34.5" customHeight="1" x14ac:dyDescent="0.2">
      <c r="A61" s="70" t="s">
        <v>57</v>
      </c>
      <c r="B61" s="1" t="s">
        <v>64</v>
      </c>
      <c r="C61" s="67">
        <v>250</v>
      </c>
      <c r="D61" s="66">
        <v>18.07</v>
      </c>
      <c r="E61" s="66">
        <v>2.13</v>
      </c>
      <c r="F61" s="66">
        <v>5.0999999999999996</v>
      </c>
      <c r="G61" s="66">
        <v>14.55</v>
      </c>
      <c r="H61" s="68">
        <v>112.5</v>
      </c>
    </row>
    <row r="62" spans="1:8" ht="18" customHeight="1" x14ac:dyDescent="0.25">
      <c r="A62" s="41">
        <v>391</v>
      </c>
      <c r="B62" s="4" t="s">
        <v>70</v>
      </c>
      <c r="C62" s="27">
        <f>150+90</f>
        <v>240</v>
      </c>
      <c r="D62" s="19">
        <f>49.62-0.29-5+0.46-0.18+3.14+2.16</f>
        <v>49.91</v>
      </c>
      <c r="E62" s="28">
        <v>18.329999999999998</v>
      </c>
      <c r="F62" s="28">
        <f>10.7/180*150+4.62</f>
        <v>13.536666666666665</v>
      </c>
      <c r="G62" s="28">
        <v>39.78</v>
      </c>
      <c r="H62" s="28">
        <v>354.27</v>
      </c>
    </row>
    <row r="63" spans="1:8" s="8" customFormat="1" ht="18" customHeight="1" x14ac:dyDescent="0.25">
      <c r="A63" s="41">
        <v>319</v>
      </c>
      <c r="B63" s="12" t="s">
        <v>1</v>
      </c>
      <c r="C63" s="55">
        <v>200</v>
      </c>
      <c r="D63" s="19">
        <v>15.4</v>
      </c>
      <c r="E63" s="20">
        <v>0.7</v>
      </c>
      <c r="F63" s="20">
        <v>0.3</v>
      </c>
      <c r="G63" s="20">
        <f>29</f>
        <v>29</v>
      </c>
      <c r="H63" s="12">
        <v>127</v>
      </c>
    </row>
    <row r="64" spans="1:8" s="8" customFormat="1" ht="18" customHeight="1" x14ac:dyDescent="0.25">
      <c r="A64" s="44" t="s">
        <v>38</v>
      </c>
      <c r="B64" s="4" t="s">
        <v>74</v>
      </c>
      <c r="C64" s="56">
        <v>90</v>
      </c>
      <c r="D64" s="37">
        <v>3.54</v>
      </c>
      <c r="E64" s="2">
        <f>6.6/100*30</f>
        <v>1.98</v>
      </c>
      <c r="F64" s="47">
        <f>1.2/100*30</f>
        <v>0.36</v>
      </c>
      <c r="G64" s="2">
        <f>33.4/100*30</f>
        <v>10.02</v>
      </c>
      <c r="H64" s="2">
        <v>51.24</v>
      </c>
    </row>
    <row r="65" spans="1:8" ht="18" customHeight="1" x14ac:dyDescent="0.25">
      <c r="A65" s="43"/>
      <c r="B65" s="9" t="s">
        <v>20</v>
      </c>
      <c r="C65" s="45">
        <f t="shared" ref="C65:H65" si="6">SUM(C60:C64)</f>
        <v>800</v>
      </c>
      <c r="D65" s="33">
        <f t="shared" si="6"/>
        <v>92.820000000000007</v>
      </c>
      <c r="E65" s="33">
        <f t="shared" si="6"/>
        <v>23.74</v>
      </c>
      <c r="F65" s="33">
        <f t="shared" si="6"/>
        <v>19.396666666666665</v>
      </c>
      <c r="G65" s="33">
        <f t="shared" si="6"/>
        <v>95.25</v>
      </c>
      <c r="H65" s="33">
        <f t="shared" si="6"/>
        <v>658.01</v>
      </c>
    </row>
    <row r="66" spans="1:8" ht="18" customHeight="1" x14ac:dyDescent="0.25">
      <c r="A66" s="43"/>
      <c r="B66" s="3" t="s">
        <v>9</v>
      </c>
      <c r="C66" s="45"/>
      <c r="D66" s="33">
        <f>D58+D65</f>
        <v>130.38</v>
      </c>
      <c r="E66" s="33">
        <f>E58+E65</f>
        <v>34.709999999999994</v>
      </c>
      <c r="F66" s="33">
        <f>F58+F65</f>
        <v>30.896666666666665</v>
      </c>
      <c r="G66" s="33">
        <f>G58+G65</f>
        <v>161.04</v>
      </c>
      <c r="H66" s="33">
        <f>H58+H65</f>
        <v>1068.3499999999999</v>
      </c>
    </row>
    <row r="67" spans="1:8" ht="18" customHeight="1" x14ac:dyDescent="0.2">
      <c r="A67" s="331" t="s">
        <v>19</v>
      </c>
      <c r="B67" s="332"/>
      <c r="C67" s="48"/>
      <c r="D67" s="21"/>
      <c r="E67" s="21"/>
      <c r="F67" s="21"/>
      <c r="G67" s="21"/>
      <c r="H67" s="21"/>
    </row>
    <row r="68" spans="1:8" ht="18" customHeight="1" x14ac:dyDescent="0.2">
      <c r="A68" s="330" t="s">
        <v>12</v>
      </c>
      <c r="B68" s="330"/>
      <c r="C68" s="40"/>
      <c r="D68" s="34"/>
      <c r="E68" s="16"/>
      <c r="F68" s="10"/>
      <c r="G68" s="10"/>
      <c r="H68" s="16"/>
    </row>
    <row r="69" spans="1:8" ht="18" customHeight="1" x14ac:dyDescent="0.25">
      <c r="A69" s="41">
        <v>192</v>
      </c>
      <c r="B69" s="23" t="s">
        <v>79</v>
      </c>
      <c r="C69" s="51">
        <v>255</v>
      </c>
      <c r="D69" s="19">
        <v>26.21</v>
      </c>
      <c r="E69" s="20">
        <v>12.2</v>
      </c>
      <c r="F69" s="20">
        <v>14.8</v>
      </c>
      <c r="G69" s="20">
        <v>36.799999999999997</v>
      </c>
      <c r="H69" s="20">
        <v>329.2</v>
      </c>
    </row>
    <row r="70" spans="1:8" ht="18" customHeight="1" x14ac:dyDescent="0.25">
      <c r="A70" s="41">
        <v>300</v>
      </c>
      <c r="B70" s="23" t="s">
        <v>26</v>
      </c>
      <c r="C70" s="51">
        <v>200</v>
      </c>
      <c r="D70" s="19">
        <v>6.9</v>
      </c>
      <c r="E70" s="4">
        <v>0.1</v>
      </c>
      <c r="F70" s="4">
        <v>0</v>
      </c>
      <c r="G70" s="4">
        <v>15.2</v>
      </c>
      <c r="H70" s="4">
        <v>61</v>
      </c>
    </row>
    <row r="71" spans="1:8" ht="18" customHeight="1" x14ac:dyDescent="0.25">
      <c r="A71" s="44" t="s">
        <v>37</v>
      </c>
      <c r="B71" s="4" t="s">
        <v>0</v>
      </c>
      <c r="C71" s="46">
        <v>50</v>
      </c>
      <c r="D71" s="37">
        <v>6.57</v>
      </c>
      <c r="E71" s="4">
        <f>7.9/100*30</f>
        <v>2.37</v>
      </c>
      <c r="F71" s="4">
        <f>1/100*30</f>
        <v>0.3</v>
      </c>
      <c r="G71" s="4">
        <f>48.3/100*30</f>
        <v>14.49</v>
      </c>
      <c r="H71" s="4">
        <v>70.14</v>
      </c>
    </row>
    <row r="72" spans="1:8" ht="18" customHeight="1" x14ac:dyDescent="0.25">
      <c r="A72" s="44" t="s">
        <v>78</v>
      </c>
      <c r="B72" s="4" t="s">
        <v>24</v>
      </c>
      <c r="C72" s="46">
        <v>45</v>
      </c>
      <c r="D72" s="19"/>
      <c r="E72" s="62">
        <v>2.2000000000000002</v>
      </c>
      <c r="F72" s="62">
        <v>2.6</v>
      </c>
      <c r="G72" s="62">
        <v>14</v>
      </c>
      <c r="H72" s="62">
        <v>84.4</v>
      </c>
    </row>
    <row r="73" spans="1:8" ht="18" customHeight="1" x14ac:dyDescent="0.25">
      <c r="A73" s="43"/>
      <c r="B73" s="9" t="s">
        <v>20</v>
      </c>
      <c r="C73" s="45">
        <f>SUM(C69:C72)</f>
        <v>550</v>
      </c>
      <c r="D73" s="33">
        <f>SUM(D69:D71)</f>
        <v>39.68</v>
      </c>
      <c r="E73" s="33">
        <f>SUM(E69:E71)</f>
        <v>14.669999999999998</v>
      </c>
      <c r="F73" s="33">
        <f>SUM(F69:F71)</f>
        <v>15.100000000000001</v>
      </c>
      <c r="G73" s="33">
        <f>SUM(G69:G71)</f>
        <v>66.489999999999995</v>
      </c>
      <c r="H73" s="33">
        <f>SUM(H69:H71)</f>
        <v>460.34</v>
      </c>
    </row>
    <row r="74" spans="1:8" ht="18" customHeight="1" x14ac:dyDescent="0.2">
      <c r="A74" s="333" t="s">
        <v>11</v>
      </c>
      <c r="B74" s="334"/>
      <c r="C74" s="49"/>
      <c r="D74" s="34"/>
      <c r="E74" s="16"/>
      <c r="F74" s="16"/>
      <c r="G74" s="16"/>
      <c r="H74" s="16"/>
    </row>
    <row r="75" spans="1:8" ht="18" customHeight="1" x14ac:dyDescent="0.25">
      <c r="A75" s="41">
        <v>65</v>
      </c>
      <c r="B75" s="18" t="s">
        <v>59</v>
      </c>
      <c r="C75" s="58">
        <v>250</v>
      </c>
      <c r="D75" s="35">
        <f>25.89-0.12</f>
        <v>25.77</v>
      </c>
      <c r="E75" s="12">
        <v>7.3</v>
      </c>
      <c r="F75" s="12">
        <f>4.4+3</f>
        <v>7.4</v>
      </c>
      <c r="G75" s="12">
        <v>30.8</v>
      </c>
      <c r="H75" s="12">
        <v>219</v>
      </c>
    </row>
    <row r="76" spans="1:8" ht="18" customHeight="1" x14ac:dyDescent="0.25">
      <c r="A76" s="59">
        <v>110</v>
      </c>
      <c r="B76" s="60" t="s">
        <v>71</v>
      </c>
      <c r="C76" s="57">
        <v>100</v>
      </c>
      <c r="D76" s="35">
        <v>31.22</v>
      </c>
      <c r="E76" s="28">
        <v>6.9</v>
      </c>
      <c r="F76" s="28">
        <v>10.1</v>
      </c>
      <c r="G76" s="28">
        <v>8.6999999999999993</v>
      </c>
      <c r="H76" s="28">
        <v>156</v>
      </c>
    </row>
    <row r="77" spans="1:8" ht="18" customHeight="1" x14ac:dyDescent="0.25">
      <c r="A77" s="41">
        <v>227</v>
      </c>
      <c r="B77" s="29" t="s">
        <v>34</v>
      </c>
      <c r="C77" s="57">
        <v>180</v>
      </c>
      <c r="D77" s="35">
        <v>17.829999999999998</v>
      </c>
      <c r="E77" s="28">
        <v>6.6666666666666696</v>
      </c>
      <c r="F77" s="28">
        <v>5.8666666666666671</v>
      </c>
      <c r="G77" s="28">
        <f>53.3333333333333-28</f>
        <v>25.3333333333333</v>
      </c>
      <c r="H77" s="28">
        <v>180.8</v>
      </c>
    </row>
    <row r="78" spans="1:8" s="8" customFormat="1" ht="18" customHeight="1" x14ac:dyDescent="0.25">
      <c r="A78" s="41">
        <v>314</v>
      </c>
      <c r="B78" s="12" t="s">
        <v>60</v>
      </c>
      <c r="C78" s="27">
        <v>200</v>
      </c>
      <c r="D78" s="19">
        <v>17.39</v>
      </c>
      <c r="E78" s="61">
        <v>0.17</v>
      </c>
      <c r="F78" s="61">
        <v>0.04</v>
      </c>
      <c r="G78" s="61">
        <v>24.1</v>
      </c>
      <c r="H78" s="61">
        <v>98.5</v>
      </c>
    </row>
    <row r="79" spans="1:8" s="8" customFormat="1" ht="18" customHeight="1" x14ac:dyDescent="0.25">
      <c r="A79" s="44" t="s">
        <v>38</v>
      </c>
      <c r="B79" s="4" t="s">
        <v>5</v>
      </c>
      <c r="C79" s="46">
        <v>40</v>
      </c>
      <c r="D79" s="37">
        <v>3.54</v>
      </c>
      <c r="E79" s="2">
        <f>6.6/100*30</f>
        <v>1.98</v>
      </c>
      <c r="F79" s="47">
        <f>1.2/100*30</f>
        <v>0.36</v>
      </c>
      <c r="G79" s="2">
        <f>33.4/100*30</f>
        <v>10.02</v>
      </c>
      <c r="H79" s="2">
        <v>51.24</v>
      </c>
    </row>
    <row r="80" spans="1:8" s="8" customFormat="1" ht="18" customHeight="1" x14ac:dyDescent="0.25">
      <c r="A80" s="44" t="s">
        <v>37</v>
      </c>
      <c r="B80" s="4" t="s">
        <v>0</v>
      </c>
      <c r="C80" s="46">
        <v>30</v>
      </c>
      <c r="D80" s="37">
        <v>6.57</v>
      </c>
      <c r="E80" s="4">
        <f>7.9/100*30</f>
        <v>2.37</v>
      </c>
      <c r="F80" s="4">
        <f>1/100*30</f>
        <v>0.3</v>
      </c>
      <c r="G80" s="4">
        <f>48.3/100*30</f>
        <v>14.49</v>
      </c>
      <c r="H80" s="4">
        <v>70.14</v>
      </c>
    </row>
    <row r="81" spans="1:8" ht="18" customHeight="1" x14ac:dyDescent="0.25">
      <c r="A81" s="41"/>
      <c r="B81" s="9" t="s">
        <v>20</v>
      </c>
      <c r="C81" s="45">
        <f>SUM(C75:C80)</f>
        <v>800</v>
      </c>
      <c r="D81" s="33">
        <f>SUM(D75:D80)</f>
        <v>102.32</v>
      </c>
      <c r="E81" s="33">
        <f>SUM(E75:E79)</f>
        <v>23.016666666666669</v>
      </c>
      <c r="F81" s="33">
        <f>SUM(F75:F79)</f>
        <v>23.766666666666666</v>
      </c>
      <c r="G81" s="33">
        <f>SUM(G75:G79)</f>
        <v>98.953333333333305</v>
      </c>
      <c r="H81" s="33">
        <f>SUM(H75:H79)</f>
        <v>705.54</v>
      </c>
    </row>
    <row r="82" spans="1:8" ht="18" customHeight="1" x14ac:dyDescent="0.25">
      <c r="A82" s="43"/>
      <c r="B82" s="3" t="s">
        <v>9</v>
      </c>
      <c r="C82" s="45"/>
      <c r="D82" s="33">
        <f>D73+D81</f>
        <v>142</v>
      </c>
      <c r="E82" s="33">
        <f>E73+E81</f>
        <v>37.686666666666667</v>
      </c>
      <c r="F82" s="33">
        <f>F73+F81</f>
        <v>38.866666666666667</v>
      </c>
      <c r="G82" s="33">
        <f>G73+G81</f>
        <v>165.4433333333333</v>
      </c>
      <c r="H82" s="33">
        <f>H73+H81</f>
        <v>1165.8799999999999</v>
      </c>
    </row>
    <row r="83" spans="1:8" ht="18" customHeight="1" x14ac:dyDescent="0.2">
      <c r="A83" s="331" t="s">
        <v>66</v>
      </c>
      <c r="B83" s="332"/>
      <c r="C83" s="48"/>
      <c r="D83" s="21"/>
      <c r="E83" s="21"/>
      <c r="F83" s="21"/>
      <c r="G83" s="21"/>
      <c r="H83" s="21"/>
    </row>
    <row r="84" spans="1:8" ht="18" customHeight="1" x14ac:dyDescent="0.2">
      <c r="A84" s="330" t="s">
        <v>12</v>
      </c>
      <c r="B84" s="330"/>
      <c r="C84" s="40"/>
      <c r="D84" s="34"/>
      <c r="E84" s="16"/>
      <c r="F84" s="16"/>
      <c r="G84" s="16"/>
      <c r="H84" s="16"/>
    </row>
    <row r="85" spans="1:8" ht="18" customHeight="1" x14ac:dyDescent="0.25">
      <c r="A85" s="41">
        <v>208</v>
      </c>
      <c r="B85" s="4" t="s">
        <v>77</v>
      </c>
      <c r="C85" s="46">
        <v>255</v>
      </c>
      <c r="D85" s="37">
        <v>28.66</v>
      </c>
      <c r="E85" s="15">
        <v>8.5</v>
      </c>
      <c r="F85" s="15">
        <v>11.2</v>
      </c>
      <c r="G85" s="15">
        <v>36.1</v>
      </c>
      <c r="H85" s="15">
        <v>279.2</v>
      </c>
    </row>
    <row r="86" spans="1:8" ht="18" customHeight="1" x14ac:dyDescent="0.25">
      <c r="A86" s="41">
        <v>313</v>
      </c>
      <c r="B86" s="4" t="s">
        <v>56</v>
      </c>
      <c r="C86" s="46">
        <v>200</v>
      </c>
      <c r="D86" s="68">
        <v>8.9</v>
      </c>
      <c r="E86" s="4">
        <v>0.1</v>
      </c>
      <c r="F86" s="4">
        <v>0</v>
      </c>
      <c r="G86" s="4">
        <v>15.2</v>
      </c>
      <c r="H86" s="4">
        <v>61</v>
      </c>
    </row>
    <row r="87" spans="1:8" ht="18" customHeight="1" x14ac:dyDescent="0.25">
      <c r="A87" s="44" t="s">
        <v>37</v>
      </c>
      <c r="B87" s="4" t="s">
        <v>0</v>
      </c>
      <c r="C87" s="46">
        <v>50</v>
      </c>
      <c r="D87" s="37">
        <v>6.57</v>
      </c>
      <c r="E87" s="4">
        <f>7.9/100*30</f>
        <v>2.37</v>
      </c>
      <c r="F87" s="4">
        <f>1/100*30</f>
        <v>0.3</v>
      </c>
      <c r="G87" s="4">
        <f>48.3/100*30</f>
        <v>14.49</v>
      </c>
      <c r="H87" s="4">
        <v>70.14</v>
      </c>
    </row>
    <row r="88" spans="1:8" ht="18" customHeight="1" x14ac:dyDescent="0.25">
      <c r="A88" s="44" t="s">
        <v>78</v>
      </c>
      <c r="B88" s="4" t="s">
        <v>24</v>
      </c>
      <c r="C88" s="46">
        <v>45</v>
      </c>
      <c r="D88" s="19"/>
      <c r="E88" s="62">
        <v>2.2000000000000002</v>
      </c>
      <c r="F88" s="62">
        <v>2.6</v>
      </c>
      <c r="G88" s="62">
        <v>14</v>
      </c>
      <c r="H88" s="62">
        <v>84.4</v>
      </c>
    </row>
    <row r="89" spans="1:8" ht="18" customHeight="1" x14ac:dyDescent="0.25">
      <c r="A89" s="41"/>
      <c r="B89" s="9" t="s">
        <v>20</v>
      </c>
      <c r="C89" s="45">
        <f>SUM(C85:C88)</f>
        <v>550</v>
      </c>
      <c r="D89" s="33">
        <f>SUM(D85:D87)</f>
        <v>44.13</v>
      </c>
      <c r="E89" s="5">
        <f>SUM(E85:E87)</f>
        <v>10.969999999999999</v>
      </c>
      <c r="F89" s="5">
        <f>SUM(F85:F87)</f>
        <v>11.5</v>
      </c>
      <c r="G89" s="5">
        <f>SUM(G85:G87)</f>
        <v>65.789999999999992</v>
      </c>
      <c r="H89" s="5">
        <f>SUM(H85:H87)</f>
        <v>410.34</v>
      </c>
    </row>
    <row r="90" spans="1:8" ht="15.75" x14ac:dyDescent="0.2">
      <c r="A90" s="333" t="s">
        <v>11</v>
      </c>
      <c r="B90" s="334"/>
      <c r="C90" s="32"/>
      <c r="D90" s="34"/>
      <c r="E90" s="16"/>
      <c r="F90" s="16"/>
      <c r="G90" s="16"/>
      <c r="H90" s="16"/>
    </row>
    <row r="91" spans="1:8" ht="15.75" x14ac:dyDescent="0.2">
      <c r="A91" s="77">
        <v>62</v>
      </c>
      <c r="B91" s="23" t="s">
        <v>32</v>
      </c>
      <c r="C91" s="67">
        <v>250</v>
      </c>
      <c r="D91" s="19">
        <v>16.54</v>
      </c>
      <c r="E91" s="19">
        <v>5.8</v>
      </c>
      <c r="F91" s="19">
        <v>4.3</v>
      </c>
      <c r="G91" s="19">
        <v>27.8</v>
      </c>
      <c r="H91" s="13">
        <v>173.1</v>
      </c>
    </row>
    <row r="92" spans="1:8" ht="18" customHeight="1" x14ac:dyDescent="0.25">
      <c r="A92" s="41">
        <v>120</v>
      </c>
      <c r="B92" s="1" t="s">
        <v>55</v>
      </c>
      <c r="C92" s="26">
        <v>250</v>
      </c>
      <c r="D92" s="66">
        <f>69.71-0.45-2.36</f>
        <v>66.899999999999991</v>
      </c>
      <c r="E92" s="66">
        <v>14.65</v>
      </c>
      <c r="F92" s="66">
        <v>15.2</v>
      </c>
      <c r="G92" s="66">
        <v>42.92</v>
      </c>
      <c r="H92" s="66">
        <v>367.08</v>
      </c>
    </row>
    <row r="93" spans="1:8" ht="18" customHeight="1" x14ac:dyDescent="0.25">
      <c r="A93" s="41">
        <v>310</v>
      </c>
      <c r="B93" s="4" t="s">
        <v>29</v>
      </c>
      <c r="C93" s="46">
        <v>200</v>
      </c>
      <c r="D93" s="37">
        <v>10.89</v>
      </c>
      <c r="E93" s="20">
        <v>0.5</v>
      </c>
      <c r="F93" s="20">
        <v>0.1</v>
      </c>
      <c r="G93" s="20">
        <v>23.9</v>
      </c>
      <c r="H93" s="20">
        <v>98.5</v>
      </c>
    </row>
    <row r="94" spans="1:8" s="8" customFormat="1" ht="18" customHeight="1" x14ac:dyDescent="0.25">
      <c r="A94" s="44" t="s">
        <v>38</v>
      </c>
      <c r="B94" s="4" t="s">
        <v>5</v>
      </c>
      <c r="C94" s="46">
        <v>50</v>
      </c>
      <c r="D94" s="37">
        <v>3.54</v>
      </c>
      <c r="E94" s="2">
        <f>E79/30*50</f>
        <v>3.3000000000000003</v>
      </c>
      <c r="F94" s="2">
        <f>F79/30*50</f>
        <v>0.6</v>
      </c>
      <c r="G94" s="2">
        <f>G79/30*50</f>
        <v>16.7</v>
      </c>
      <c r="H94" s="2">
        <f>H79/30*50</f>
        <v>85.399999999999991</v>
      </c>
    </row>
    <row r="95" spans="1:8" s="8" customFormat="1" ht="18" customHeight="1" x14ac:dyDescent="0.25">
      <c r="A95" s="44" t="s">
        <v>37</v>
      </c>
      <c r="B95" s="4" t="s">
        <v>0</v>
      </c>
      <c r="C95" s="46">
        <v>50</v>
      </c>
      <c r="D95" s="37">
        <v>6.57</v>
      </c>
      <c r="E95" s="4">
        <f>7.9/100*30</f>
        <v>2.37</v>
      </c>
      <c r="F95" s="4">
        <f>1/100*30</f>
        <v>0.3</v>
      </c>
      <c r="G95" s="4">
        <f>48.3/100*30</f>
        <v>14.49</v>
      </c>
      <c r="H95" s="4">
        <v>70.14</v>
      </c>
    </row>
    <row r="96" spans="1:8" ht="18" customHeight="1" x14ac:dyDescent="0.25">
      <c r="A96" s="43"/>
      <c r="B96" s="9" t="s">
        <v>20</v>
      </c>
      <c r="C96" s="45">
        <f>SUM(C91:C95)</f>
        <v>800</v>
      </c>
      <c r="D96" s="33">
        <f>SUM(D91:D94)</f>
        <v>97.87</v>
      </c>
      <c r="E96" s="6">
        <f>SUM(E91:E94)</f>
        <v>24.25</v>
      </c>
      <c r="F96" s="6">
        <f>SUM(F91:F94)</f>
        <v>20.200000000000003</v>
      </c>
      <c r="G96" s="6">
        <f>SUM(G91:G94)</f>
        <v>111.32000000000001</v>
      </c>
      <c r="H96" s="6">
        <f>SUM(H91:H94)</f>
        <v>724.07999999999993</v>
      </c>
    </row>
    <row r="97" spans="1:9" ht="18" customHeight="1" x14ac:dyDescent="0.25">
      <c r="A97" s="43"/>
      <c r="B97" s="3" t="s">
        <v>9</v>
      </c>
      <c r="C97" s="45"/>
      <c r="D97" s="33">
        <f>D89+D96</f>
        <v>142</v>
      </c>
      <c r="E97" s="33">
        <f>E89+E96</f>
        <v>35.22</v>
      </c>
      <c r="F97" s="33">
        <f>F89+F96</f>
        <v>31.700000000000003</v>
      </c>
      <c r="G97" s="33">
        <f>G89+G96</f>
        <v>177.11</v>
      </c>
      <c r="H97" s="33">
        <f>H89+H96</f>
        <v>1134.4199999999998</v>
      </c>
    </row>
    <row r="98" spans="1:9" ht="18" customHeight="1" x14ac:dyDescent="0.2">
      <c r="A98" s="331" t="s">
        <v>67</v>
      </c>
      <c r="B98" s="332"/>
      <c r="C98" s="48"/>
      <c r="D98" s="21"/>
      <c r="E98" s="21"/>
      <c r="F98" s="21"/>
      <c r="G98" s="21"/>
      <c r="H98" s="21"/>
    </row>
    <row r="99" spans="1:9" ht="18" customHeight="1" x14ac:dyDescent="0.2">
      <c r="A99" s="330" t="s">
        <v>10</v>
      </c>
      <c r="B99" s="330"/>
      <c r="C99" s="40"/>
      <c r="D99" s="34"/>
      <c r="E99" s="16"/>
      <c r="F99" s="16"/>
      <c r="G99" s="16"/>
      <c r="H99" s="16"/>
    </row>
    <row r="100" spans="1:9" ht="18" customHeight="1" x14ac:dyDescent="0.25">
      <c r="A100" s="41">
        <v>241</v>
      </c>
      <c r="B100" s="25" t="s">
        <v>80</v>
      </c>
      <c r="C100" s="46">
        <v>250</v>
      </c>
      <c r="D100" s="37">
        <f>38.18+2.1</f>
        <v>40.28</v>
      </c>
      <c r="E100" s="4">
        <v>11.6</v>
      </c>
      <c r="F100" s="4">
        <v>4.2</v>
      </c>
      <c r="G100" s="4">
        <v>7.2</v>
      </c>
      <c r="H100" s="4">
        <v>113</v>
      </c>
    </row>
    <row r="101" spans="1:9" s="8" customFormat="1" ht="18" customHeight="1" x14ac:dyDescent="0.25">
      <c r="A101" s="41">
        <v>300</v>
      </c>
      <c r="B101" s="23" t="s">
        <v>26</v>
      </c>
      <c r="C101" s="46">
        <v>200</v>
      </c>
      <c r="D101" s="19">
        <v>6.9</v>
      </c>
      <c r="E101" s="4">
        <v>0.1</v>
      </c>
      <c r="F101" s="4">
        <v>0</v>
      </c>
      <c r="G101" s="4">
        <v>15.2</v>
      </c>
      <c r="H101" s="4">
        <v>61</v>
      </c>
    </row>
    <row r="102" spans="1:9" ht="18" customHeight="1" x14ac:dyDescent="0.25">
      <c r="A102" s="41">
        <v>289</v>
      </c>
      <c r="B102" s="13" t="s">
        <v>45</v>
      </c>
      <c r="C102" s="46">
        <v>100</v>
      </c>
      <c r="D102" s="37">
        <f>16.67-7.84</f>
        <v>8.8300000000000018</v>
      </c>
      <c r="E102" s="4">
        <v>3.9</v>
      </c>
      <c r="F102" s="4">
        <v>1.5</v>
      </c>
      <c r="G102" s="4">
        <v>32.200000000000003</v>
      </c>
      <c r="H102" s="4">
        <v>157.9</v>
      </c>
    </row>
    <row r="103" spans="1:9" ht="18" customHeight="1" x14ac:dyDescent="0.25">
      <c r="A103" s="43"/>
      <c r="B103" s="9" t="s">
        <v>20</v>
      </c>
      <c r="C103" s="45">
        <f t="shared" ref="C103:H103" si="7">SUM(C100:C102)</f>
        <v>550</v>
      </c>
      <c r="D103" s="33">
        <f t="shared" si="7"/>
        <v>56.010000000000005</v>
      </c>
      <c r="E103" s="33">
        <f t="shared" si="7"/>
        <v>15.6</v>
      </c>
      <c r="F103" s="33">
        <f t="shared" si="7"/>
        <v>5.7</v>
      </c>
      <c r="G103" s="33">
        <f t="shared" si="7"/>
        <v>54.6</v>
      </c>
      <c r="H103" s="33">
        <f t="shared" si="7"/>
        <v>331.9</v>
      </c>
      <c r="I103" s="82"/>
    </row>
    <row r="104" spans="1:9" ht="18" customHeight="1" x14ac:dyDescent="0.2">
      <c r="A104" s="334" t="s">
        <v>11</v>
      </c>
      <c r="B104" s="334"/>
      <c r="C104" s="32"/>
      <c r="D104" s="34"/>
      <c r="E104" s="16"/>
      <c r="F104" s="16"/>
      <c r="G104" s="16"/>
      <c r="H104" s="16"/>
    </row>
    <row r="105" spans="1:9" ht="18" customHeight="1" x14ac:dyDescent="0.25">
      <c r="A105" s="41">
        <v>58</v>
      </c>
      <c r="B105" s="22" t="s">
        <v>54</v>
      </c>
      <c r="C105" s="54">
        <v>250</v>
      </c>
      <c r="D105" s="37">
        <f>17.89+0.18</f>
        <v>18.07</v>
      </c>
      <c r="E105" s="13">
        <v>2</v>
      </c>
      <c r="F105" s="13">
        <v>9.4</v>
      </c>
      <c r="G105" s="13">
        <v>17.8</v>
      </c>
      <c r="H105" s="13">
        <v>163.80000000000001</v>
      </c>
    </row>
    <row r="106" spans="1:9" ht="18" customHeight="1" x14ac:dyDescent="0.25">
      <c r="A106" s="41">
        <v>107</v>
      </c>
      <c r="B106" s="23" t="s">
        <v>81</v>
      </c>
      <c r="C106" s="52">
        <v>100</v>
      </c>
      <c r="D106" s="19">
        <v>34.75</v>
      </c>
      <c r="E106" s="20">
        <v>8</v>
      </c>
      <c r="F106" s="20">
        <v>7.2</v>
      </c>
      <c r="G106" s="20">
        <v>6.3</v>
      </c>
      <c r="H106" s="20">
        <v>123</v>
      </c>
    </row>
    <row r="107" spans="1:9" ht="18" customHeight="1" x14ac:dyDescent="0.25">
      <c r="A107" s="41">
        <v>183</v>
      </c>
      <c r="B107" s="4" t="s">
        <v>58</v>
      </c>
      <c r="C107" s="46">
        <v>180</v>
      </c>
      <c r="D107" s="68">
        <v>16.05</v>
      </c>
      <c r="E107" s="69">
        <v>7.1253333333333337</v>
      </c>
      <c r="F107" s="69">
        <v>7.69</v>
      </c>
      <c r="G107" s="69">
        <v>38.207999999999998</v>
      </c>
      <c r="H107" s="69">
        <v>250.54</v>
      </c>
    </row>
    <row r="108" spans="1:9" ht="18" customHeight="1" x14ac:dyDescent="0.25">
      <c r="A108" s="41">
        <v>311</v>
      </c>
      <c r="B108" s="12" t="s">
        <v>25</v>
      </c>
      <c r="C108" s="27">
        <v>200</v>
      </c>
      <c r="D108" s="19">
        <v>13.58</v>
      </c>
      <c r="E108" s="20">
        <v>0.2</v>
      </c>
      <c r="F108" s="20">
        <v>0.1</v>
      </c>
      <c r="G108" s="20">
        <v>17.2</v>
      </c>
      <c r="H108" s="12">
        <v>70</v>
      </c>
    </row>
    <row r="109" spans="1:9" s="8" customFormat="1" ht="18" customHeight="1" x14ac:dyDescent="0.25">
      <c r="A109" s="44" t="s">
        <v>38</v>
      </c>
      <c r="B109" s="4" t="s">
        <v>5</v>
      </c>
      <c r="C109" s="46">
        <v>30</v>
      </c>
      <c r="D109" s="37">
        <v>3.54</v>
      </c>
      <c r="E109" s="2">
        <f>6.6/100*30</f>
        <v>1.98</v>
      </c>
      <c r="F109" s="47">
        <f>1.2/100*30</f>
        <v>0.36</v>
      </c>
      <c r="G109" s="2">
        <f>33.4/100*30</f>
        <v>10.02</v>
      </c>
      <c r="H109" s="2">
        <v>51.24</v>
      </c>
    </row>
    <row r="110" spans="1:9" s="8" customFormat="1" ht="18" customHeight="1" x14ac:dyDescent="0.25">
      <c r="A110" s="44" t="s">
        <v>37</v>
      </c>
      <c r="B110" s="4" t="s">
        <v>0</v>
      </c>
      <c r="C110" s="46">
        <v>40</v>
      </c>
      <c r="D110" s="37">
        <v>6.57</v>
      </c>
      <c r="E110" s="4">
        <f>7.9/100*30</f>
        <v>2.37</v>
      </c>
      <c r="F110" s="4">
        <f>1/100*30</f>
        <v>0.3</v>
      </c>
      <c r="G110" s="4">
        <f>48.3/100*30</f>
        <v>14.49</v>
      </c>
      <c r="H110" s="4">
        <v>70.14</v>
      </c>
    </row>
    <row r="111" spans="1:9" s="8" customFormat="1" ht="18" customHeight="1" x14ac:dyDescent="0.25">
      <c r="A111" s="43"/>
      <c r="B111" s="9" t="s">
        <v>20</v>
      </c>
      <c r="C111" s="45">
        <f>SUM(C105:C110)</f>
        <v>800</v>
      </c>
      <c r="D111" s="33">
        <f>SUM(D105:D109)</f>
        <v>85.990000000000009</v>
      </c>
      <c r="E111" s="33">
        <f>SUM(E105:E109)</f>
        <v>19.305333333333333</v>
      </c>
      <c r="F111" s="33">
        <f>SUM(F105:F109)</f>
        <v>24.750000000000004</v>
      </c>
      <c r="G111" s="33">
        <f>SUM(G105:G109)</f>
        <v>89.527999999999992</v>
      </c>
      <c r="H111" s="33">
        <f>SUM(H105:H109)</f>
        <v>658.58</v>
      </c>
    </row>
    <row r="112" spans="1:9" ht="18" customHeight="1" x14ac:dyDescent="0.25">
      <c r="A112" s="43"/>
      <c r="B112" s="3" t="s">
        <v>9</v>
      </c>
      <c r="C112" s="45"/>
      <c r="D112" s="33">
        <f>D103+D111</f>
        <v>142</v>
      </c>
      <c r="E112" s="33">
        <f>E103+E111</f>
        <v>34.905333333333331</v>
      </c>
      <c r="F112" s="33">
        <f>F103+F111</f>
        <v>30.450000000000003</v>
      </c>
      <c r="G112" s="33">
        <f>G103+G111</f>
        <v>144.12799999999999</v>
      </c>
      <c r="H112" s="33">
        <f>H103+H111</f>
        <v>990.48</v>
      </c>
    </row>
    <row r="113" spans="1:8" ht="18" customHeight="1" x14ac:dyDescent="0.2">
      <c r="A113" s="331" t="s">
        <v>68</v>
      </c>
      <c r="B113" s="332"/>
      <c r="C113" s="48"/>
      <c r="D113" s="21"/>
      <c r="E113" s="21"/>
      <c r="F113" s="21"/>
      <c r="G113" s="21"/>
      <c r="H113" s="21"/>
    </row>
    <row r="114" spans="1:8" ht="18" customHeight="1" x14ac:dyDescent="0.2">
      <c r="A114" s="330" t="s">
        <v>12</v>
      </c>
      <c r="B114" s="330"/>
      <c r="C114" s="40"/>
      <c r="D114" s="34"/>
      <c r="E114" s="10"/>
      <c r="F114" s="10"/>
      <c r="G114" s="10"/>
      <c r="H114" s="16"/>
    </row>
    <row r="115" spans="1:8" ht="18" customHeight="1" x14ac:dyDescent="0.25">
      <c r="A115" s="41">
        <v>208</v>
      </c>
      <c r="B115" s="4" t="s">
        <v>82</v>
      </c>
      <c r="C115" s="46">
        <v>255</v>
      </c>
      <c r="D115" s="37">
        <f>24.95-0.8</f>
        <v>24.15</v>
      </c>
      <c r="E115" s="15">
        <v>8.2716049382716061</v>
      </c>
      <c r="F115" s="15">
        <v>12.744938271604934</v>
      </c>
      <c r="G115" s="15">
        <v>40.246913580246911</v>
      </c>
      <c r="H115" s="15">
        <v>308.77777777777777</v>
      </c>
    </row>
    <row r="116" spans="1:8" ht="18" customHeight="1" x14ac:dyDescent="0.25">
      <c r="A116" s="41">
        <v>313</v>
      </c>
      <c r="B116" s="4" t="s">
        <v>56</v>
      </c>
      <c r="C116" s="46">
        <v>200</v>
      </c>
      <c r="D116" s="68">
        <v>8.9</v>
      </c>
      <c r="E116" s="4">
        <v>0.1</v>
      </c>
      <c r="F116" s="4">
        <v>0</v>
      </c>
      <c r="G116" s="4">
        <v>15.2</v>
      </c>
      <c r="H116" s="4">
        <v>61</v>
      </c>
    </row>
    <row r="117" spans="1:8" ht="18" customHeight="1" x14ac:dyDescent="0.25">
      <c r="A117" s="41" t="s">
        <v>36</v>
      </c>
      <c r="B117" s="13" t="s">
        <v>33</v>
      </c>
      <c r="C117" s="52">
        <v>95</v>
      </c>
      <c r="D117" s="37">
        <f>14.3-1.25</f>
        <v>13.05</v>
      </c>
      <c r="E117" s="17">
        <v>0.85050000000000014</v>
      </c>
      <c r="F117" s="17">
        <v>0.189</v>
      </c>
      <c r="G117" s="17">
        <v>0.76649999999999996</v>
      </c>
      <c r="H117" s="17">
        <v>8.1690000000000005</v>
      </c>
    </row>
    <row r="118" spans="1:8" ht="18" customHeight="1" x14ac:dyDescent="0.25">
      <c r="A118" s="42"/>
      <c r="B118" s="9" t="s">
        <v>20</v>
      </c>
      <c r="C118" s="45">
        <f t="shared" ref="C118:H118" si="8">SUM(C115:C117)</f>
        <v>550</v>
      </c>
      <c r="D118" s="33">
        <f t="shared" si="8"/>
        <v>46.099999999999994</v>
      </c>
      <c r="E118" s="33">
        <f t="shared" si="8"/>
        <v>9.222104938271606</v>
      </c>
      <c r="F118" s="33">
        <f t="shared" si="8"/>
        <v>12.933938271604934</v>
      </c>
      <c r="G118" s="33">
        <f t="shared" si="8"/>
        <v>56.213413580246915</v>
      </c>
      <c r="H118" s="33">
        <f t="shared" si="8"/>
        <v>377.94677777777775</v>
      </c>
    </row>
    <row r="119" spans="1:8" ht="18" customHeight="1" x14ac:dyDescent="0.2">
      <c r="A119" s="333" t="s">
        <v>11</v>
      </c>
      <c r="B119" s="334"/>
      <c r="C119" s="49"/>
      <c r="D119" s="34"/>
      <c r="E119" s="16"/>
      <c r="F119" s="16"/>
      <c r="G119" s="16"/>
      <c r="H119" s="16"/>
    </row>
    <row r="120" spans="1:8" ht="18" customHeight="1" x14ac:dyDescent="0.25">
      <c r="A120" s="44" t="s">
        <v>39</v>
      </c>
      <c r="B120" s="23" t="s">
        <v>21</v>
      </c>
      <c r="C120" s="51">
        <v>30</v>
      </c>
      <c r="D120" s="19">
        <v>5.9</v>
      </c>
      <c r="E120" s="61">
        <v>0.6</v>
      </c>
      <c r="F120" s="61">
        <v>0.1</v>
      </c>
      <c r="G120" s="61">
        <v>1.9</v>
      </c>
      <c r="H120" s="61">
        <v>13</v>
      </c>
    </row>
    <row r="121" spans="1:8" ht="18" customHeight="1" x14ac:dyDescent="0.25">
      <c r="A121" s="41">
        <v>65</v>
      </c>
      <c r="B121" s="18" t="s">
        <v>59</v>
      </c>
      <c r="C121" s="51">
        <v>250</v>
      </c>
      <c r="D121" s="35">
        <f>20.98+2.56</f>
        <v>23.54</v>
      </c>
      <c r="E121" s="12">
        <v>7.3</v>
      </c>
      <c r="F121" s="12">
        <f>4.4+3</f>
        <v>7.4</v>
      </c>
      <c r="G121" s="12">
        <v>30.8</v>
      </c>
      <c r="H121" s="12">
        <v>219</v>
      </c>
    </row>
    <row r="122" spans="1:8" ht="18" customHeight="1" x14ac:dyDescent="0.25">
      <c r="A122" s="41">
        <v>96</v>
      </c>
      <c r="B122" s="1" t="s">
        <v>73</v>
      </c>
      <c r="C122" s="26">
        <v>90</v>
      </c>
      <c r="D122" s="19">
        <f>43.58+2.58-9.15+5.3</f>
        <v>42.309999999999995</v>
      </c>
      <c r="E122" s="14">
        <v>14.02</v>
      </c>
      <c r="F122" s="14">
        <v>9.3000000000000007</v>
      </c>
      <c r="G122" s="14">
        <v>7.1</v>
      </c>
      <c r="H122" s="14">
        <v>168.18</v>
      </c>
    </row>
    <row r="123" spans="1:8" ht="18" customHeight="1" x14ac:dyDescent="0.25">
      <c r="A123" s="41">
        <v>187</v>
      </c>
      <c r="B123" s="4" t="s">
        <v>22</v>
      </c>
      <c r="C123" s="26">
        <v>180</v>
      </c>
      <c r="D123" s="19">
        <v>9.7200000000000006</v>
      </c>
      <c r="E123" s="14">
        <v>4.4000000000000004</v>
      </c>
      <c r="F123" s="14">
        <v>4.7</v>
      </c>
      <c r="G123" s="14">
        <v>45</v>
      </c>
      <c r="H123" s="14">
        <v>239.9</v>
      </c>
    </row>
    <row r="124" spans="1:8" ht="18" customHeight="1" x14ac:dyDescent="0.25">
      <c r="A124" s="41">
        <v>310</v>
      </c>
      <c r="B124" s="4" t="s">
        <v>29</v>
      </c>
      <c r="C124" s="46">
        <v>200</v>
      </c>
      <c r="D124" s="37">
        <v>10.89</v>
      </c>
      <c r="E124" s="20">
        <v>0.5</v>
      </c>
      <c r="F124" s="20">
        <v>0.1</v>
      </c>
      <c r="G124" s="20">
        <v>23.9</v>
      </c>
      <c r="H124" s="20">
        <v>98.5</v>
      </c>
    </row>
    <row r="125" spans="1:8" ht="18" customHeight="1" x14ac:dyDescent="0.25">
      <c r="A125" s="44" t="s">
        <v>38</v>
      </c>
      <c r="B125" s="4" t="s">
        <v>5</v>
      </c>
      <c r="C125" s="46">
        <v>50</v>
      </c>
      <c r="D125" s="37">
        <v>3.54</v>
      </c>
      <c r="E125" s="2">
        <f>6.6/100*30</f>
        <v>1.98</v>
      </c>
      <c r="F125" s="47">
        <f>1.2/100*30</f>
        <v>0.36</v>
      </c>
      <c r="G125" s="2">
        <f>33.4/100*30</f>
        <v>10.02</v>
      </c>
      <c r="H125" s="2">
        <v>51.24</v>
      </c>
    </row>
    <row r="126" spans="1:8" ht="18" customHeight="1" x14ac:dyDescent="0.25">
      <c r="A126" s="43"/>
      <c r="B126" s="9" t="s">
        <v>20</v>
      </c>
      <c r="C126" s="45">
        <f t="shared" ref="C126:H126" si="9">SUM(C120:C125)</f>
        <v>800</v>
      </c>
      <c r="D126" s="33">
        <f t="shared" si="9"/>
        <v>95.9</v>
      </c>
      <c r="E126" s="5">
        <f t="shared" si="9"/>
        <v>28.8</v>
      </c>
      <c r="F126" s="5">
        <f t="shared" si="9"/>
        <v>21.96</v>
      </c>
      <c r="G126" s="5">
        <f t="shared" si="9"/>
        <v>118.72000000000001</v>
      </c>
      <c r="H126" s="5">
        <f t="shared" si="9"/>
        <v>789.82</v>
      </c>
    </row>
    <row r="127" spans="1:8" ht="18" customHeight="1" x14ac:dyDescent="0.25">
      <c r="A127" s="43"/>
      <c r="B127" s="3" t="s">
        <v>9</v>
      </c>
      <c r="C127" s="45"/>
      <c r="D127" s="33">
        <f>D118+D126</f>
        <v>142</v>
      </c>
      <c r="E127" s="33">
        <f>E118+E126</f>
        <v>38.02210493827161</v>
      </c>
      <c r="F127" s="33">
        <f>F118+F126</f>
        <v>34.893938271604938</v>
      </c>
      <c r="G127" s="33">
        <f>G118+G126</f>
        <v>174.93341358024693</v>
      </c>
      <c r="H127" s="33">
        <f>H118+H126</f>
        <v>1167.7667777777779</v>
      </c>
    </row>
    <row r="128" spans="1:8" ht="18" customHeight="1" x14ac:dyDescent="0.2">
      <c r="A128" s="333" t="s">
        <v>69</v>
      </c>
      <c r="B128" s="334"/>
      <c r="C128" s="32"/>
      <c r="D128" s="31"/>
      <c r="E128" s="21"/>
      <c r="F128" s="21"/>
      <c r="G128" s="21"/>
      <c r="H128" s="31"/>
    </row>
    <row r="129" spans="1:8" ht="18" customHeight="1" x14ac:dyDescent="0.2">
      <c r="A129" s="333" t="s">
        <v>12</v>
      </c>
      <c r="B129" s="334"/>
      <c r="C129" s="49"/>
      <c r="D129" s="33"/>
      <c r="E129" s="3"/>
      <c r="F129" s="3"/>
      <c r="G129" s="3"/>
      <c r="H129" s="3"/>
    </row>
    <row r="130" spans="1:8" ht="18" customHeight="1" x14ac:dyDescent="0.25">
      <c r="A130" s="41">
        <v>258</v>
      </c>
      <c r="B130" s="4" t="s">
        <v>83</v>
      </c>
      <c r="C130" s="46">
        <v>210</v>
      </c>
      <c r="D130" s="37">
        <v>34</v>
      </c>
      <c r="E130" s="15">
        <v>11.75</v>
      </c>
      <c r="F130" s="15">
        <v>15.3</v>
      </c>
      <c r="G130" s="15">
        <v>36.799999999999997</v>
      </c>
      <c r="H130" s="15">
        <v>331.9</v>
      </c>
    </row>
    <row r="131" spans="1:8" ht="18" customHeight="1" x14ac:dyDescent="0.25">
      <c r="A131" s="41">
        <v>300</v>
      </c>
      <c r="B131" s="23" t="s">
        <v>26</v>
      </c>
      <c r="C131" s="46">
        <v>200</v>
      </c>
      <c r="D131" s="19">
        <v>6.9</v>
      </c>
      <c r="E131" s="4">
        <v>0.1</v>
      </c>
      <c r="F131" s="4">
        <v>0</v>
      </c>
      <c r="G131" s="4">
        <v>15.2</v>
      </c>
      <c r="H131" s="4">
        <v>61</v>
      </c>
    </row>
    <row r="132" spans="1:8" ht="18" customHeight="1" x14ac:dyDescent="0.25">
      <c r="A132" s="41" t="s">
        <v>36</v>
      </c>
      <c r="B132" s="13" t="s">
        <v>33</v>
      </c>
      <c r="C132" s="52">
        <v>140</v>
      </c>
      <c r="D132" s="37">
        <f>14.3-1.25</f>
        <v>13.05</v>
      </c>
      <c r="E132" s="17">
        <v>0.85050000000000014</v>
      </c>
      <c r="F132" s="17">
        <v>0.189</v>
      </c>
      <c r="G132" s="17">
        <v>0.76649999999999996</v>
      </c>
      <c r="H132" s="17">
        <v>8.1690000000000005</v>
      </c>
    </row>
    <row r="133" spans="1:8" ht="18" customHeight="1" x14ac:dyDescent="0.25">
      <c r="A133" s="43"/>
      <c r="B133" s="9" t="s">
        <v>20</v>
      </c>
      <c r="C133" s="45">
        <f t="shared" ref="C133:H133" si="10">SUM(C130:C132)</f>
        <v>550</v>
      </c>
      <c r="D133" s="33">
        <f t="shared" si="10"/>
        <v>53.95</v>
      </c>
      <c r="E133" s="33">
        <f t="shared" si="10"/>
        <v>12.7005</v>
      </c>
      <c r="F133" s="33">
        <f t="shared" si="10"/>
        <v>15.489000000000001</v>
      </c>
      <c r="G133" s="33">
        <f t="shared" si="10"/>
        <v>52.766500000000001</v>
      </c>
      <c r="H133" s="33">
        <f t="shared" si="10"/>
        <v>401.06899999999996</v>
      </c>
    </row>
    <row r="134" spans="1:8" ht="18" customHeight="1" x14ac:dyDescent="0.2">
      <c r="A134" s="330" t="s">
        <v>11</v>
      </c>
      <c r="B134" s="330"/>
      <c r="C134" s="40"/>
      <c r="D134" s="34"/>
      <c r="E134" s="16"/>
      <c r="F134" s="16"/>
      <c r="G134" s="16"/>
      <c r="H134" s="16"/>
    </row>
    <row r="135" spans="1:8" ht="18" customHeight="1" x14ac:dyDescent="0.25">
      <c r="A135" s="41">
        <v>56</v>
      </c>
      <c r="B135" s="18" t="s">
        <v>30</v>
      </c>
      <c r="C135" s="51">
        <v>250</v>
      </c>
      <c r="D135" s="19">
        <f>30/250*200</f>
        <v>24</v>
      </c>
      <c r="E135" s="24">
        <v>2.4</v>
      </c>
      <c r="F135" s="24">
        <v>5</v>
      </c>
      <c r="G135" s="24">
        <v>15.7</v>
      </c>
      <c r="H135" s="24">
        <v>123</v>
      </c>
    </row>
    <row r="136" spans="1:8" ht="18" customHeight="1" x14ac:dyDescent="0.25">
      <c r="A136" s="41">
        <v>110</v>
      </c>
      <c r="B136" s="60" t="s">
        <v>71</v>
      </c>
      <c r="C136" s="51">
        <v>100</v>
      </c>
      <c r="D136" s="19">
        <v>31.22</v>
      </c>
      <c r="E136" s="28">
        <v>6.9</v>
      </c>
      <c r="F136" s="28">
        <v>10.1</v>
      </c>
      <c r="G136" s="28">
        <v>8.6999999999999993</v>
      </c>
      <c r="H136" s="28">
        <v>156</v>
      </c>
    </row>
    <row r="137" spans="1:8" ht="18" customHeight="1" x14ac:dyDescent="0.25">
      <c r="A137" s="41">
        <v>227</v>
      </c>
      <c r="B137" s="60" t="s">
        <v>34</v>
      </c>
      <c r="C137" s="51">
        <v>180</v>
      </c>
      <c r="D137" s="19">
        <f>17.83-0.46</f>
        <v>17.369999999999997</v>
      </c>
      <c r="E137" s="28">
        <v>6.6666666666666696</v>
      </c>
      <c r="F137" s="28">
        <v>5.8666666666666671</v>
      </c>
      <c r="G137" s="28">
        <f>53.3333333333333-28</f>
        <v>25.3333333333333</v>
      </c>
      <c r="H137" s="28">
        <v>180.8</v>
      </c>
    </row>
    <row r="138" spans="1:8" ht="18" customHeight="1" x14ac:dyDescent="0.25">
      <c r="A138" s="41">
        <v>319</v>
      </c>
      <c r="B138" s="12" t="s">
        <v>1</v>
      </c>
      <c r="C138" s="46">
        <v>200</v>
      </c>
      <c r="D138" s="19">
        <v>15.4</v>
      </c>
      <c r="E138" s="20">
        <v>0.7</v>
      </c>
      <c r="F138" s="20">
        <v>0.3</v>
      </c>
      <c r="G138" s="20">
        <v>29</v>
      </c>
      <c r="H138" s="12">
        <v>121.5</v>
      </c>
    </row>
    <row r="139" spans="1:8" ht="18" customHeight="1" x14ac:dyDescent="0.25">
      <c r="A139" s="44" t="s">
        <v>38</v>
      </c>
      <c r="B139" s="4" t="s">
        <v>84</v>
      </c>
      <c r="C139" s="46">
        <v>70</v>
      </c>
      <c r="D139" s="37">
        <v>3.54</v>
      </c>
      <c r="E139" s="2">
        <v>3.3000000000000003</v>
      </c>
      <c r="F139" s="47">
        <v>0.6</v>
      </c>
      <c r="G139" s="2">
        <v>16.7</v>
      </c>
      <c r="H139" s="2">
        <v>85.399999999999991</v>
      </c>
    </row>
    <row r="140" spans="1:8" ht="18" customHeight="1" x14ac:dyDescent="0.25">
      <c r="A140" s="41"/>
      <c r="B140" s="9" t="s">
        <v>20</v>
      </c>
      <c r="C140" s="45">
        <f t="shared" ref="C140:H140" si="11">SUM(C135:C139)</f>
        <v>800</v>
      </c>
      <c r="D140" s="33">
        <f t="shared" si="11"/>
        <v>91.530000000000015</v>
      </c>
      <c r="E140" s="33">
        <f t="shared" si="11"/>
        <v>19.966666666666672</v>
      </c>
      <c r="F140" s="33">
        <f t="shared" si="11"/>
        <v>21.866666666666671</v>
      </c>
      <c r="G140" s="33">
        <f t="shared" si="11"/>
        <v>95.433333333333294</v>
      </c>
      <c r="H140" s="33">
        <f t="shared" si="11"/>
        <v>666.69999999999993</v>
      </c>
    </row>
    <row r="141" spans="1:8" ht="15.75" x14ac:dyDescent="0.25">
      <c r="A141" s="41"/>
      <c r="B141" s="9"/>
      <c r="C141" s="45"/>
      <c r="D141" s="33">
        <f>D133+D140</f>
        <v>145.48000000000002</v>
      </c>
      <c r="E141" s="33">
        <f>E133+E140</f>
        <v>32.667166666666674</v>
      </c>
      <c r="F141" s="33">
        <f>F133+F140</f>
        <v>37.355666666666671</v>
      </c>
      <c r="G141" s="33">
        <f>G133+G140</f>
        <v>148.19983333333329</v>
      </c>
      <c r="H141" s="33">
        <f>H133+H140</f>
        <v>1067.7689999999998</v>
      </c>
    </row>
    <row r="142" spans="1:8" ht="15.75" x14ac:dyDescent="0.2">
      <c r="A142" s="331" t="s">
        <v>52</v>
      </c>
      <c r="B142" s="332"/>
      <c r="C142" s="48"/>
      <c r="D142" s="21"/>
      <c r="E142" s="21"/>
      <c r="F142" s="21"/>
      <c r="G142" s="21"/>
      <c r="H142" s="21"/>
    </row>
    <row r="143" spans="1:8" ht="15.75" x14ac:dyDescent="0.2">
      <c r="A143" s="330" t="s">
        <v>12</v>
      </c>
      <c r="B143" s="330"/>
      <c r="C143" s="40"/>
      <c r="D143" s="34"/>
      <c r="E143" s="16"/>
      <c r="F143" s="16"/>
      <c r="G143" s="16"/>
      <c r="H143" s="16"/>
    </row>
    <row r="144" spans="1:8" ht="15.75" x14ac:dyDescent="0.25">
      <c r="A144" s="41">
        <v>208</v>
      </c>
      <c r="B144" s="4" t="s">
        <v>85</v>
      </c>
      <c r="C144" s="46">
        <v>255</v>
      </c>
      <c r="D144" s="37">
        <f>24.95-0.8</f>
        <v>24.15</v>
      </c>
      <c r="E144" s="15">
        <v>8.2716049382716061</v>
      </c>
      <c r="F144" s="15">
        <v>12.744938271604934</v>
      </c>
      <c r="G144" s="15">
        <v>40.246913580246911</v>
      </c>
      <c r="H144" s="15">
        <v>308.77777777777777</v>
      </c>
    </row>
    <row r="145" spans="1:8" ht="15.75" x14ac:dyDescent="0.25">
      <c r="A145" s="41">
        <v>313</v>
      </c>
      <c r="B145" s="4" t="s">
        <v>56</v>
      </c>
      <c r="C145" s="46">
        <v>200</v>
      </c>
      <c r="D145" s="68">
        <v>8.9</v>
      </c>
      <c r="E145" s="4">
        <v>0.1</v>
      </c>
      <c r="F145" s="4">
        <v>0</v>
      </c>
      <c r="G145" s="4">
        <v>15.2</v>
      </c>
      <c r="H145" s="4">
        <v>61</v>
      </c>
    </row>
    <row r="146" spans="1:8" ht="15.75" x14ac:dyDescent="0.25">
      <c r="A146" s="41" t="s">
        <v>36</v>
      </c>
      <c r="B146" s="13" t="s">
        <v>33</v>
      </c>
      <c r="C146" s="52">
        <v>95</v>
      </c>
      <c r="D146" s="37">
        <f>14.3-1.25</f>
        <v>13.05</v>
      </c>
      <c r="E146" s="17">
        <v>0.85050000000000014</v>
      </c>
      <c r="F146" s="17">
        <v>0.189</v>
      </c>
      <c r="G146" s="17">
        <v>0.76649999999999996</v>
      </c>
      <c r="H146" s="17">
        <v>8.1690000000000005</v>
      </c>
    </row>
    <row r="147" spans="1:8" ht="15.75" x14ac:dyDescent="0.25">
      <c r="A147" s="42"/>
      <c r="B147" s="9" t="s">
        <v>20</v>
      </c>
      <c r="C147" s="45">
        <f t="shared" ref="C147:H147" si="12">SUM(C144:C146)</f>
        <v>550</v>
      </c>
      <c r="D147" s="33">
        <f t="shared" si="12"/>
        <v>46.099999999999994</v>
      </c>
      <c r="E147" s="33">
        <f t="shared" si="12"/>
        <v>9.222104938271606</v>
      </c>
      <c r="F147" s="33">
        <f t="shared" si="12"/>
        <v>12.933938271604934</v>
      </c>
      <c r="G147" s="33">
        <f t="shared" si="12"/>
        <v>56.213413580246915</v>
      </c>
      <c r="H147" s="33">
        <f t="shared" si="12"/>
        <v>377.94677777777775</v>
      </c>
    </row>
    <row r="148" spans="1:8" ht="15.75" x14ac:dyDescent="0.2">
      <c r="A148" s="333" t="s">
        <v>11</v>
      </c>
      <c r="B148" s="334"/>
      <c r="C148" s="49"/>
      <c r="D148" s="34"/>
      <c r="E148" s="16"/>
      <c r="F148" s="16"/>
      <c r="G148" s="16"/>
      <c r="H148" s="16"/>
    </row>
    <row r="149" spans="1:8" ht="15.75" x14ac:dyDescent="0.25">
      <c r="A149" s="41">
        <v>58</v>
      </c>
      <c r="B149" s="23" t="s">
        <v>41</v>
      </c>
      <c r="C149" s="51">
        <v>250</v>
      </c>
      <c r="D149" s="37">
        <f>13.98+0.41</f>
        <v>14.39</v>
      </c>
      <c r="E149" s="13">
        <v>2</v>
      </c>
      <c r="F149" s="13">
        <v>9.4</v>
      </c>
      <c r="G149" s="13">
        <v>17.8</v>
      </c>
      <c r="H149" s="13">
        <v>163.80000000000001</v>
      </c>
    </row>
    <row r="150" spans="1:8" ht="15.75" x14ac:dyDescent="0.25">
      <c r="A150" s="41">
        <v>136</v>
      </c>
      <c r="B150" s="23" t="s">
        <v>43</v>
      </c>
      <c r="C150" s="52">
        <v>100</v>
      </c>
      <c r="D150" s="37">
        <v>35.049999999999997</v>
      </c>
      <c r="E150" s="19">
        <v>8.5</v>
      </c>
      <c r="F150" s="19">
        <f>19.3-12</f>
        <v>7.3000000000000007</v>
      </c>
      <c r="G150" s="19">
        <v>8.9</v>
      </c>
      <c r="H150" s="19">
        <v>135.30000000000001</v>
      </c>
    </row>
    <row r="151" spans="1:8" ht="15.75" x14ac:dyDescent="0.25">
      <c r="A151" s="41">
        <v>183</v>
      </c>
      <c r="B151" s="4" t="s">
        <v>63</v>
      </c>
      <c r="C151" s="46">
        <v>180</v>
      </c>
      <c r="D151" s="68">
        <f>16.05+9.61</f>
        <v>25.66</v>
      </c>
      <c r="E151" s="69">
        <v>7.1253333333333337</v>
      </c>
      <c r="F151" s="69">
        <v>7.69</v>
      </c>
      <c r="G151" s="69">
        <v>38.207999999999998</v>
      </c>
      <c r="H151" s="69">
        <v>250.54</v>
      </c>
    </row>
    <row r="152" spans="1:8" ht="15.75" x14ac:dyDescent="0.25">
      <c r="A152" s="41">
        <v>314</v>
      </c>
      <c r="B152" s="12" t="s">
        <v>60</v>
      </c>
      <c r="C152" s="27">
        <v>200</v>
      </c>
      <c r="D152" s="19">
        <f>17.39-0.13</f>
        <v>17.260000000000002</v>
      </c>
      <c r="E152" s="61">
        <v>0.17</v>
      </c>
      <c r="F152" s="61">
        <v>0.04</v>
      </c>
      <c r="G152" s="61">
        <v>24.1</v>
      </c>
      <c r="H152" s="61">
        <v>98.5</v>
      </c>
    </row>
    <row r="153" spans="1:8" ht="15.75" x14ac:dyDescent="0.25">
      <c r="A153" s="44" t="s">
        <v>38</v>
      </c>
      <c r="B153" s="4" t="s">
        <v>84</v>
      </c>
      <c r="C153" s="46">
        <v>70</v>
      </c>
      <c r="D153" s="37">
        <v>3.54</v>
      </c>
      <c r="E153" s="2">
        <f>6.6/100*30</f>
        <v>1.98</v>
      </c>
      <c r="F153" s="47">
        <f>1.2/100*30</f>
        <v>0.36</v>
      </c>
      <c r="G153" s="2">
        <f>33.4/100*30</f>
        <v>10.02</v>
      </c>
      <c r="H153" s="2">
        <v>51.24</v>
      </c>
    </row>
    <row r="154" spans="1:8" ht="15.75" x14ac:dyDescent="0.25">
      <c r="A154" s="43"/>
      <c r="B154" s="9" t="s">
        <v>20</v>
      </c>
      <c r="C154" s="45">
        <f t="shared" ref="C154:H154" si="13">SUM(C149:C153)</f>
        <v>800</v>
      </c>
      <c r="D154" s="33">
        <f t="shared" si="13"/>
        <v>95.9</v>
      </c>
      <c r="E154" s="33">
        <f t="shared" si="13"/>
        <v>19.775333333333336</v>
      </c>
      <c r="F154" s="33">
        <f t="shared" si="13"/>
        <v>24.790000000000003</v>
      </c>
      <c r="G154" s="33">
        <f t="shared" si="13"/>
        <v>99.028000000000006</v>
      </c>
      <c r="H154" s="33">
        <f t="shared" si="13"/>
        <v>699.38</v>
      </c>
    </row>
    <row r="155" spans="1:8" ht="15.75" x14ac:dyDescent="0.25">
      <c r="A155" s="43"/>
      <c r="B155" s="3" t="s">
        <v>9</v>
      </c>
      <c r="C155" s="45"/>
      <c r="D155" s="33">
        <f>D147+D154</f>
        <v>142</v>
      </c>
      <c r="E155" s="33">
        <f>E147+E154</f>
        <v>28.997438271604942</v>
      </c>
      <c r="F155" s="33">
        <f>F147+F154</f>
        <v>37.723938271604936</v>
      </c>
      <c r="G155" s="33">
        <f>G147+G154</f>
        <v>155.24141358024693</v>
      </c>
      <c r="H155" s="33">
        <f>H147+H154</f>
        <v>1077.3267777777778</v>
      </c>
    </row>
    <row r="156" spans="1:8" ht="15.75" x14ac:dyDescent="0.2">
      <c r="A156" s="63"/>
      <c r="B156" s="335" t="s">
        <v>46</v>
      </c>
      <c r="C156" s="335"/>
      <c r="D156" s="6"/>
      <c r="E156" s="6">
        <f>E22+E37+E51+E66+E82+E97+E112+E127+E141+E155</f>
        <v>338.81958641975314</v>
      </c>
      <c r="F156" s="6">
        <f>F22+F37+F51+F66+F82+F97+F112+F127+F141+F155</f>
        <v>337.70141975308638</v>
      </c>
      <c r="G156" s="6">
        <f>G22+G37+G51+G66+G82+G97+G112+G127+G141+G155</f>
        <v>1586.6161543209876</v>
      </c>
      <c r="H156" s="6">
        <f>H22+H37+H51+H66+H82+H97+H112+H127+H141+H155</f>
        <v>10769.94611111111</v>
      </c>
    </row>
    <row r="157" spans="1:8" ht="15.75" x14ac:dyDescent="0.25">
      <c r="A157" s="63"/>
      <c r="B157" s="329" t="s">
        <v>47</v>
      </c>
      <c r="C157" s="329"/>
      <c r="D157" s="64"/>
      <c r="E157" s="6">
        <f>E156/10</f>
        <v>33.881958641975316</v>
      </c>
      <c r="F157" s="6">
        <f>F156/10</f>
        <v>33.77014197530864</v>
      </c>
      <c r="G157" s="6">
        <f>G156/10</f>
        <v>158.66161543209876</v>
      </c>
      <c r="H157" s="6">
        <f>H156/10</f>
        <v>1076.994611111111</v>
      </c>
    </row>
  </sheetData>
  <mergeCells count="42">
    <mergeCell ref="B156:C156"/>
    <mergeCell ref="B157:C157"/>
    <mergeCell ref="A119:B119"/>
    <mergeCell ref="A128:B128"/>
    <mergeCell ref="A142:B142"/>
    <mergeCell ref="A143:B143"/>
    <mergeCell ref="A148:B148"/>
    <mergeCell ref="A84:B84"/>
    <mergeCell ref="B1:G2"/>
    <mergeCell ref="A3:A7"/>
    <mergeCell ref="B3:B7"/>
    <mergeCell ref="C3:C7"/>
    <mergeCell ref="D3:D7"/>
    <mergeCell ref="A30:B30"/>
    <mergeCell ref="A39:B39"/>
    <mergeCell ref="A38:B38"/>
    <mergeCell ref="A44:B44"/>
    <mergeCell ref="A24:B24"/>
    <mergeCell ref="A9:B9"/>
    <mergeCell ref="A15:B15"/>
    <mergeCell ref="A25:B25"/>
    <mergeCell ref="A67:B67"/>
    <mergeCell ref="A52:B52"/>
    <mergeCell ref="H3:H7"/>
    <mergeCell ref="E5:E7"/>
    <mergeCell ref="F5:F7"/>
    <mergeCell ref="G5:G7"/>
    <mergeCell ref="A8:B8"/>
    <mergeCell ref="E3:G4"/>
    <mergeCell ref="A53:B53"/>
    <mergeCell ref="A59:B59"/>
    <mergeCell ref="A83:B83"/>
    <mergeCell ref="A68:B68"/>
    <mergeCell ref="A74:B74"/>
    <mergeCell ref="A98:B98"/>
    <mergeCell ref="A99:B99"/>
    <mergeCell ref="A90:B90"/>
    <mergeCell ref="A134:B134"/>
    <mergeCell ref="A104:B104"/>
    <mergeCell ref="A114:B114"/>
    <mergeCell ref="A129:B129"/>
    <mergeCell ref="A113:B113"/>
  </mergeCells>
  <pageMargins left="0.70866141732283472" right="0.70866141732283472" top="0" bottom="0" header="0.31496062992125984" footer="0.31496062992125984"/>
  <pageSetup paperSize="9" scale="99" fitToHeight="0" orientation="landscape" horizontalDpi="0" verticalDpi="0" r:id="rId1"/>
  <rowBreaks count="9" manualBreakCount="9">
    <brk id="23" max="16383" man="1"/>
    <brk id="37" max="16383" man="1"/>
    <brk id="51" max="16383" man="1"/>
    <brk id="66" max="16383" man="1"/>
    <brk id="82" max="16383" man="1"/>
    <brk id="97" max="16383" man="1"/>
    <brk id="112" max="16383" man="1"/>
    <brk id="127" max="16383" man="1"/>
    <brk id="1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11" sqref="I11"/>
    </sheetView>
  </sheetViews>
  <sheetFormatPr defaultRowHeight="12.75" x14ac:dyDescent="0.2"/>
  <cols>
    <col min="1" max="1" width="44.7109375" bestFit="1" customWidth="1"/>
    <col min="2" max="2" width="12.28515625" bestFit="1" customWidth="1"/>
    <col min="3" max="3" width="17.5703125" bestFit="1" customWidth="1"/>
    <col min="4" max="4" width="17.28515625" bestFit="1" customWidth="1"/>
    <col min="5" max="5" width="10.5703125" bestFit="1" customWidth="1"/>
  </cols>
  <sheetData>
    <row r="1" spans="1:5" ht="13.5" thickBot="1" x14ac:dyDescent="0.25"/>
    <row r="2" spans="1:5" ht="21" thickBot="1" x14ac:dyDescent="0.35">
      <c r="A2" s="171" t="s">
        <v>150</v>
      </c>
      <c r="B2" s="172" t="s">
        <v>139</v>
      </c>
      <c r="C2" s="172" t="s">
        <v>140</v>
      </c>
      <c r="D2" s="172" t="s">
        <v>141</v>
      </c>
      <c r="E2" s="173" t="s">
        <v>142</v>
      </c>
    </row>
    <row r="3" spans="1:5" ht="20.25" x14ac:dyDescent="0.3">
      <c r="A3" s="170" t="s">
        <v>143</v>
      </c>
      <c r="B3" s="170">
        <v>2</v>
      </c>
      <c r="C3" s="170">
        <f>1</f>
        <v>1</v>
      </c>
      <c r="D3" s="170">
        <f>1+1</f>
        <v>2</v>
      </c>
      <c r="E3" s="170">
        <f>1+1</f>
        <v>2</v>
      </c>
    </row>
    <row r="4" spans="1:5" ht="20.25" x14ac:dyDescent="0.3">
      <c r="A4" s="168" t="s">
        <v>144</v>
      </c>
      <c r="B4" s="168">
        <v>2</v>
      </c>
      <c r="C4" s="168">
        <f>1+1</f>
        <v>2</v>
      </c>
      <c r="D4" s="168">
        <f>1+1</f>
        <v>2</v>
      </c>
      <c r="E4" s="168">
        <v>1</v>
      </c>
    </row>
    <row r="5" spans="1:5" ht="20.25" x14ac:dyDescent="0.3">
      <c r="A5" s="168" t="s">
        <v>145</v>
      </c>
      <c r="B5" s="168">
        <v>2</v>
      </c>
      <c r="C5" s="168">
        <f>1</f>
        <v>1</v>
      </c>
      <c r="D5" s="168">
        <v>1</v>
      </c>
      <c r="E5" s="168">
        <f>1</f>
        <v>1</v>
      </c>
    </row>
    <row r="6" spans="1:5" ht="20.25" x14ac:dyDescent="0.3">
      <c r="A6" s="168" t="s">
        <v>106</v>
      </c>
      <c r="B6" s="168">
        <f>2+4</f>
        <v>6</v>
      </c>
      <c r="C6" s="168">
        <f>1+1+1</f>
        <v>3</v>
      </c>
      <c r="D6" s="168">
        <f>1+1+1+1+1+1</f>
        <v>6</v>
      </c>
      <c r="E6" s="168">
        <f>1+1+1+1</f>
        <v>4</v>
      </c>
    </row>
    <row r="7" spans="1:5" ht="20.25" x14ac:dyDescent="0.3">
      <c r="A7" s="168" t="s">
        <v>97</v>
      </c>
      <c r="B7" s="168">
        <f>3+1</f>
        <v>4</v>
      </c>
      <c r="C7" s="168">
        <f>1+1+1+1+1+1+1+1</f>
        <v>8</v>
      </c>
      <c r="D7" s="168">
        <f>1+1+1+1</f>
        <v>4</v>
      </c>
      <c r="E7" s="168">
        <v>3</v>
      </c>
    </row>
    <row r="8" spans="1:5" ht="20.25" x14ac:dyDescent="0.3">
      <c r="A8" s="168" t="s">
        <v>146</v>
      </c>
      <c r="B8" s="168">
        <v>2</v>
      </c>
      <c r="C8" s="168">
        <f>1+1</f>
        <v>2</v>
      </c>
      <c r="D8" s="168">
        <f>1+1+1</f>
        <v>3</v>
      </c>
      <c r="E8" s="168">
        <f>1+1+1</f>
        <v>3</v>
      </c>
    </row>
    <row r="9" spans="1:5" ht="20.25" x14ac:dyDescent="0.3">
      <c r="A9" s="168" t="s">
        <v>108</v>
      </c>
      <c r="B9" s="168">
        <v>1</v>
      </c>
      <c r="C9" s="168">
        <v>1</v>
      </c>
      <c r="D9" s="168">
        <v>1</v>
      </c>
      <c r="E9" s="168">
        <v>1</v>
      </c>
    </row>
    <row r="10" spans="1:5" ht="20.25" x14ac:dyDescent="0.3">
      <c r="A10" s="168" t="s">
        <v>152</v>
      </c>
      <c r="B10" s="168">
        <v>1</v>
      </c>
      <c r="C10" s="168">
        <v>1</v>
      </c>
      <c r="D10" s="168">
        <v>2</v>
      </c>
      <c r="E10" s="168">
        <v>2</v>
      </c>
    </row>
    <row r="11" spans="1:5" ht="20.25" x14ac:dyDescent="0.3">
      <c r="A11" s="168" t="s">
        <v>101</v>
      </c>
      <c r="B11" s="168">
        <v>1</v>
      </c>
      <c r="C11" s="168">
        <v>1</v>
      </c>
      <c r="D11" s="168">
        <f>1+1</f>
        <v>2</v>
      </c>
      <c r="E11" s="168">
        <f>1+1</f>
        <v>2</v>
      </c>
    </row>
    <row r="12" spans="1:5" ht="20.25" x14ac:dyDescent="0.3">
      <c r="A12" s="168" t="s">
        <v>147</v>
      </c>
      <c r="B12" s="168">
        <v>7</v>
      </c>
      <c r="C12" s="168">
        <f>1+1+1+1+1+1</f>
        <v>6</v>
      </c>
      <c r="D12" s="168">
        <f>1+1+1+1+1+1+1+1</f>
        <v>8</v>
      </c>
      <c r="E12" s="168">
        <f>1+1+1+1</f>
        <v>4</v>
      </c>
    </row>
    <row r="13" spans="1:5" ht="20.25" x14ac:dyDescent="0.3">
      <c r="A13" s="168" t="s">
        <v>148</v>
      </c>
      <c r="B13" s="168">
        <v>7</v>
      </c>
      <c r="C13" s="168">
        <f>1+1+1</f>
        <v>3</v>
      </c>
      <c r="D13" s="168">
        <f>1+1+1</f>
        <v>3</v>
      </c>
      <c r="E13" s="168">
        <v>19</v>
      </c>
    </row>
    <row r="14" spans="1:5" ht="20.25" x14ac:dyDescent="0.3">
      <c r="A14" s="168" t="s">
        <v>149</v>
      </c>
      <c r="B14" s="168">
        <v>5</v>
      </c>
      <c r="C14" s="168">
        <v>4</v>
      </c>
      <c r="D14" s="168">
        <f>1+1+1+1+1+1+1</f>
        <v>7</v>
      </c>
      <c r="E14" s="168">
        <v>10</v>
      </c>
    </row>
    <row r="15" spans="1:5" ht="20.25" x14ac:dyDescent="0.3">
      <c r="A15" s="169" t="s">
        <v>89</v>
      </c>
      <c r="B15" s="169">
        <v>1</v>
      </c>
      <c r="C15" s="168">
        <f>1+1</f>
        <v>2</v>
      </c>
      <c r="D15" s="168"/>
      <c r="E15" s="168">
        <f>1</f>
        <v>1</v>
      </c>
    </row>
    <row r="16" spans="1:5" ht="20.25" x14ac:dyDescent="0.3">
      <c r="A16" s="169" t="s">
        <v>151</v>
      </c>
      <c r="B16" s="168"/>
      <c r="C16" s="168">
        <v>1</v>
      </c>
      <c r="D16" s="168"/>
      <c r="E16" s="168"/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41" workbookViewId="0">
      <selection activeCell="A54" sqref="A54:B54"/>
    </sheetView>
  </sheetViews>
  <sheetFormatPr defaultRowHeight="15" x14ac:dyDescent="0.2"/>
  <cols>
    <col min="1" max="1" width="10" style="39" customWidth="1"/>
    <col min="2" max="2" width="57" style="11" customWidth="1"/>
    <col min="3" max="3" width="9.5703125" style="50" customWidth="1"/>
    <col min="4" max="4" width="13.42578125" style="36" customWidth="1"/>
    <col min="5" max="5" width="9.42578125" style="11" customWidth="1"/>
    <col min="6" max="7" width="10.7109375" style="11" customWidth="1"/>
    <col min="8" max="8" width="11.85546875" style="11" customWidth="1"/>
    <col min="9" max="12" width="9.140625" style="180"/>
    <col min="13" max="16384" width="9.140625" style="11"/>
  </cols>
  <sheetData>
    <row r="1" spans="1:12" ht="15.75" x14ac:dyDescent="0.25">
      <c r="A1" s="41">
        <v>158</v>
      </c>
      <c r="B1" s="86" t="s">
        <v>138</v>
      </c>
      <c r="C1" s="52">
        <v>90</v>
      </c>
      <c r="D1" s="37">
        <f>35.52+0.6</f>
        <v>36.120000000000005</v>
      </c>
      <c r="E1" s="13">
        <v>7.04</v>
      </c>
      <c r="F1" s="17">
        <v>10.563333333333333</v>
      </c>
      <c r="G1" s="17">
        <v>12.470000000000002</v>
      </c>
      <c r="H1" s="87">
        <v>168.32</v>
      </c>
    </row>
    <row r="2" spans="1:12" ht="18" customHeight="1" x14ac:dyDescent="0.25">
      <c r="A2" s="41">
        <v>136</v>
      </c>
      <c r="B2" s="23" t="s">
        <v>168</v>
      </c>
      <c r="C2" s="52">
        <v>100</v>
      </c>
      <c r="D2" s="37">
        <f>46.02+1.19</f>
        <v>47.21</v>
      </c>
      <c r="E2" s="19">
        <v>4.7300000000000004</v>
      </c>
      <c r="F2" s="19">
        <v>8.43</v>
      </c>
      <c r="G2" s="19">
        <v>4.9000000000000004</v>
      </c>
      <c r="H2" s="19">
        <v>112.62</v>
      </c>
    </row>
    <row r="3" spans="1:12" ht="18" customHeight="1" x14ac:dyDescent="0.25">
      <c r="A3" s="41">
        <v>136</v>
      </c>
      <c r="B3" s="4" t="s">
        <v>90</v>
      </c>
      <c r="C3" s="46">
        <v>90</v>
      </c>
      <c r="D3" s="37">
        <f>47.21/100*90</f>
        <v>42.489000000000004</v>
      </c>
      <c r="E3" s="19">
        <v>4.7300000000000004</v>
      </c>
      <c r="F3" s="19">
        <v>8.43</v>
      </c>
      <c r="G3" s="19">
        <v>4.9000000000000004</v>
      </c>
      <c r="H3" s="19">
        <v>112.62</v>
      </c>
      <c r="I3" s="11"/>
      <c r="J3" s="11"/>
      <c r="K3" s="11"/>
      <c r="L3" s="11"/>
    </row>
    <row r="4" spans="1:12" ht="18" customHeight="1" x14ac:dyDescent="0.25">
      <c r="A4" s="41">
        <v>208</v>
      </c>
      <c r="B4" s="4" t="s">
        <v>130</v>
      </c>
      <c r="C4" s="46">
        <v>140</v>
      </c>
      <c r="D4" s="37">
        <f>24.95-0.8+5</f>
        <v>29.15</v>
      </c>
      <c r="E4" s="15">
        <v>8.2716049382716061</v>
      </c>
      <c r="F4" s="15">
        <v>12.744938271604934</v>
      </c>
      <c r="G4" s="15">
        <v>40.246913580246911</v>
      </c>
      <c r="H4" s="15">
        <v>308.77777777777777</v>
      </c>
    </row>
    <row r="5" spans="1:12" ht="18" customHeight="1" x14ac:dyDescent="0.25">
      <c r="A5" s="41">
        <v>55</v>
      </c>
      <c r="B5" s="13" t="s">
        <v>155</v>
      </c>
      <c r="C5" s="52">
        <v>230</v>
      </c>
      <c r="D5" s="37">
        <v>16.25</v>
      </c>
      <c r="E5" s="13">
        <v>8.870000000000001</v>
      </c>
      <c r="F5" s="13">
        <v>9.4</v>
      </c>
      <c r="G5" s="13">
        <v>32.799999999999997</v>
      </c>
      <c r="H5" s="13">
        <v>251.28</v>
      </c>
    </row>
    <row r="6" spans="1:12" ht="18" customHeight="1" x14ac:dyDescent="0.25">
      <c r="A6" s="44" t="s">
        <v>37</v>
      </c>
      <c r="B6" s="4" t="s">
        <v>158</v>
      </c>
      <c r="C6" s="46">
        <v>45</v>
      </c>
      <c r="D6" s="37">
        <v>27.7</v>
      </c>
      <c r="E6" s="4">
        <v>2.29</v>
      </c>
      <c r="F6" s="4">
        <v>0.21999999999999997</v>
      </c>
      <c r="G6" s="4">
        <v>14.49</v>
      </c>
      <c r="H6" s="4">
        <v>67.28</v>
      </c>
    </row>
    <row r="7" spans="1:12" ht="18" customHeight="1" x14ac:dyDescent="0.25">
      <c r="A7" s="41">
        <v>96</v>
      </c>
      <c r="B7" s="1" t="s">
        <v>73</v>
      </c>
      <c r="C7" s="190">
        <v>90</v>
      </c>
      <c r="D7" s="35">
        <f>43.58+2.58-9.15+5.3-3.89</f>
        <v>38.419999999999995</v>
      </c>
      <c r="E7" s="14">
        <v>8.8000000000000007</v>
      </c>
      <c r="F7" s="14">
        <v>6.3</v>
      </c>
      <c r="G7" s="14">
        <v>3.1</v>
      </c>
      <c r="H7" s="14">
        <v>92.68</v>
      </c>
    </row>
    <row r="8" spans="1:12" ht="18" customHeight="1" x14ac:dyDescent="0.25">
      <c r="A8" s="41">
        <v>96</v>
      </c>
      <c r="B8" s="1" t="s">
        <v>73</v>
      </c>
      <c r="C8" s="175">
        <v>90</v>
      </c>
      <c r="D8" s="19">
        <f>43.58+2.58-9.15+5.3-3.89</f>
        <v>38.419999999999995</v>
      </c>
      <c r="E8" s="14">
        <v>8.8000000000000007</v>
      </c>
      <c r="F8" s="14">
        <v>6.3</v>
      </c>
      <c r="G8" s="14">
        <v>3.1</v>
      </c>
      <c r="H8" s="14">
        <v>92.68</v>
      </c>
      <c r="I8" s="11"/>
      <c r="J8" s="11"/>
      <c r="K8" s="11"/>
      <c r="L8" s="11"/>
    </row>
    <row r="9" spans="1:12" ht="18" customHeight="1" x14ac:dyDescent="0.25">
      <c r="A9" s="41">
        <v>110</v>
      </c>
      <c r="B9" s="60" t="s">
        <v>167</v>
      </c>
      <c r="C9" s="51">
        <v>90</v>
      </c>
      <c r="D9" s="19">
        <f>49.46+0.02+2-2.47-2.09</f>
        <v>46.92</v>
      </c>
      <c r="E9" s="28">
        <v>4.7866666666666697</v>
      </c>
      <c r="F9" s="28">
        <v>7.5322222222221997</v>
      </c>
      <c r="G9" s="28">
        <v>8.4666666666666686</v>
      </c>
      <c r="H9" s="28">
        <v>118.1</v>
      </c>
    </row>
    <row r="10" spans="1:12" ht="18" customHeight="1" x14ac:dyDescent="0.25">
      <c r="A10" s="41">
        <v>259</v>
      </c>
      <c r="B10" s="23" t="s">
        <v>164</v>
      </c>
      <c r="C10" s="51">
        <v>220</v>
      </c>
      <c r="D10" s="19">
        <f>52.57+2.83-7.89</f>
        <v>47.51</v>
      </c>
      <c r="E10" s="61">
        <v>13.62</v>
      </c>
      <c r="F10" s="61">
        <v>15.84</v>
      </c>
      <c r="G10" s="61">
        <v>45.48</v>
      </c>
      <c r="H10" s="61">
        <v>376.76000000000005</v>
      </c>
    </row>
    <row r="11" spans="1:12" ht="18" customHeight="1" x14ac:dyDescent="0.25">
      <c r="A11" s="41">
        <v>241</v>
      </c>
      <c r="B11" s="25" t="s">
        <v>62</v>
      </c>
      <c r="C11" s="46">
        <v>140</v>
      </c>
      <c r="D11" s="37">
        <f>38.18+2.1</f>
        <v>40.28</v>
      </c>
      <c r="E11" s="78">
        <v>9.218264462809902</v>
      </c>
      <c r="F11" s="78">
        <v>13.82057851239669</v>
      </c>
      <c r="G11" s="78">
        <v>7.630991735537199</v>
      </c>
      <c r="H11" s="78">
        <v>189.902231404959</v>
      </c>
    </row>
    <row r="12" spans="1:12" s="8" customFormat="1" ht="18" customHeight="1" x14ac:dyDescent="0.25">
      <c r="A12" s="44" t="s">
        <v>39</v>
      </c>
      <c r="B12" s="23" t="s">
        <v>163</v>
      </c>
      <c r="C12" s="53">
        <v>10</v>
      </c>
      <c r="D12" s="19">
        <v>3.83</v>
      </c>
      <c r="E12" s="61">
        <v>1.7999999999999998</v>
      </c>
      <c r="F12" s="61">
        <v>0.3</v>
      </c>
      <c r="G12" s="61">
        <v>5.7</v>
      </c>
      <c r="H12" s="61">
        <v>39</v>
      </c>
      <c r="I12" s="180"/>
      <c r="J12" s="180"/>
      <c r="K12" s="180"/>
      <c r="L12" s="180"/>
    </row>
    <row r="13" spans="1:12" s="8" customFormat="1" ht="18" customHeight="1" x14ac:dyDescent="0.25">
      <c r="A13" s="44" t="s">
        <v>39</v>
      </c>
      <c r="B13" s="23" t="s">
        <v>163</v>
      </c>
      <c r="C13" s="53">
        <v>10</v>
      </c>
      <c r="D13" s="19">
        <v>3.83</v>
      </c>
      <c r="E13" s="61">
        <v>1.7999999999999998</v>
      </c>
      <c r="F13" s="61">
        <v>0.3</v>
      </c>
      <c r="G13" s="61">
        <v>5.7</v>
      </c>
      <c r="H13" s="61">
        <v>39</v>
      </c>
      <c r="I13" s="180"/>
      <c r="J13" s="180"/>
      <c r="K13" s="180"/>
      <c r="L13" s="180"/>
    </row>
    <row r="14" spans="1:12" ht="18" customHeight="1" x14ac:dyDescent="0.25">
      <c r="A14" s="41" t="s">
        <v>36</v>
      </c>
      <c r="B14" s="4" t="s">
        <v>161</v>
      </c>
      <c r="C14" s="46">
        <v>95</v>
      </c>
      <c r="D14" s="37">
        <v>40.299999999999997</v>
      </c>
      <c r="E14" s="15">
        <v>4.41</v>
      </c>
      <c r="F14" s="15">
        <v>2.4750000000000001</v>
      </c>
      <c r="G14" s="15">
        <v>4.1899999999999995</v>
      </c>
      <c r="H14" s="15">
        <v>54.82</v>
      </c>
      <c r="I14" s="180" t="s">
        <v>176</v>
      </c>
    </row>
    <row r="15" spans="1:12" ht="18" customHeight="1" x14ac:dyDescent="0.25">
      <c r="A15" s="41" t="s">
        <v>36</v>
      </c>
      <c r="B15" s="13" t="s">
        <v>161</v>
      </c>
      <c r="C15" s="46">
        <v>95</v>
      </c>
      <c r="D15" s="37">
        <v>40.299999999999997</v>
      </c>
      <c r="E15" s="15">
        <v>4.41</v>
      </c>
      <c r="F15" s="15">
        <v>2.4750000000000001</v>
      </c>
      <c r="G15" s="15">
        <v>4.1899999999999995</v>
      </c>
      <c r="H15" s="15">
        <v>54.82</v>
      </c>
    </row>
    <row r="16" spans="1:12" ht="18" customHeight="1" x14ac:dyDescent="0.25">
      <c r="A16" s="41">
        <v>146</v>
      </c>
      <c r="B16" s="18" t="s">
        <v>174</v>
      </c>
      <c r="C16" s="52">
        <v>150</v>
      </c>
      <c r="D16" s="37">
        <v>13.88</v>
      </c>
      <c r="E16" s="17">
        <v>4.75</v>
      </c>
      <c r="F16" s="17">
        <v>8.370000000000001</v>
      </c>
      <c r="G16" s="17">
        <v>25.06</v>
      </c>
      <c r="H16" s="87">
        <v>193.42</v>
      </c>
    </row>
    <row r="17" spans="1:12" ht="18" customHeight="1" x14ac:dyDescent="0.25">
      <c r="A17" s="100">
        <v>227</v>
      </c>
      <c r="B17" s="25" t="s">
        <v>58</v>
      </c>
      <c r="C17" s="27">
        <v>150</v>
      </c>
      <c r="D17" s="19">
        <v>11.49</v>
      </c>
      <c r="E17" s="28">
        <v>7.1253333333333337</v>
      </c>
      <c r="F17" s="28">
        <v>7.69</v>
      </c>
      <c r="G17" s="28">
        <v>24.578000000000003</v>
      </c>
      <c r="H17" s="28">
        <v>193.35000000000002</v>
      </c>
    </row>
    <row r="18" spans="1:12" ht="18" customHeight="1" x14ac:dyDescent="0.25">
      <c r="A18" s="41">
        <v>227</v>
      </c>
      <c r="B18" s="188" t="s">
        <v>58</v>
      </c>
      <c r="C18" s="191">
        <v>150</v>
      </c>
      <c r="D18" s="193">
        <v>11.49</v>
      </c>
      <c r="E18" s="28">
        <v>7.1253333333333337</v>
      </c>
      <c r="F18" s="28">
        <v>7.69</v>
      </c>
      <c r="G18" s="28">
        <v>24.578000000000003</v>
      </c>
      <c r="H18" s="28">
        <v>193.35000000000002</v>
      </c>
    </row>
    <row r="19" spans="1:12" s="8" customFormat="1" ht="18" customHeight="1" x14ac:dyDescent="0.25">
      <c r="A19" s="41">
        <v>227</v>
      </c>
      <c r="B19" s="1" t="s">
        <v>58</v>
      </c>
      <c r="C19" s="52">
        <v>150</v>
      </c>
      <c r="D19" s="37">
        <v>11.49</v>
      </c>
      <c r="E19" s="28">
        <v>7.1253333333333337</v>
      </c>
      <c r="F19" s="28">
        <v>7.69</v>
      </c>
      <c r="G19" s="28">
        <v>24.578000000000003</v>
      </c>
      <c r="H19" s="28">
        <v>193.35000000000002</v>
      </c>
      <c r="I19" s="180"/>
      <c r="J19" s="180"/>
      <c r="K19" s="180"/>
      <c r="L19" s="180"/>
    </row>
    <row r="20" spans="1:12" s="8" customFormat="1" ht="18" customHeight="1" x14ac:dyDescent="0.25">
      <c r="A20" s="41">
        <v>227</v>
      </c>
      <c r="B20" s="1" t="s">
        <v>58</v>
      </c>
      <c r="C20" s="52">
        <v>150</v>
      </c>
      <c r="D20" s="37">
        <v>11.49</v>
      </c>
      <c r="E20" s="28">
        <v>7.1253333333333337</v>
      </c>
      <c r="F20" s="28">
        <v>7.29</v>
      </c>
      <c r="G20" s="28">
        <v>24.578000000000003</v>
      </c>
      <c r="H20" s="28">
        <v>193.35000000000002</v>
      </c>
      <c r="I20" s="11"/>
      <c r="J20" s="11"/>
      <c r="K20" s="11"/>
      <c r="L20" s="11"/>
    </row>
    <row r="21" spans="1:12" ht="18" customHeight="1" x14ac:dyDescent="0.25">
      <c r="A21" s="41">
        <v>193</v>
      </c>
      <c r="B21" s="25" t="s">
        <v>136</v>
      </c>
      <c r="C21" s="46">
        <v>200</v>
      </c>
      <c r="D21" s="37">
        <f>24.66+1.97</f>
        <v>26.63</v>
      </c>
      <c r="E21" s="15">
        <v>10.821604938271609</v>
      </c>
      <c r="F21" s="15">
        <v>15.104938271604899</v>
      </c>
      <c r="G21" s="15">
        <v>30.346913580246898</v>
      </c>
      <c r="H21" s="15">
        <v>300.52</v>
      </c>
    </row>
    <row r="22" spans="1:12" ht="18" customHeight="1" x14ac:dyDescent="0.25">
      <c r="A22" s="41">
        <v>208</v>
      </c>
      <c r="B22" s="4" t="s">
        <v>166</v>
      </c>
      <c r="C22" s="46">
        <v>155</v>
      </c>
      <c r="D22" s="37">
        <f>24.95-0.8</f>
        <v>24.15</v>
      </c>
      <c r="E22" s="15">
        <v>7.0116049382716099</v>
      </c>
      <c r="F22" s="15">
        <v>12.9149382716049</v>
      </c>
      <c r="G22" s="15">
        <v>32.116913580246894</v>
      </c>
      <c r="H22" s="15">
        <v>271.43777777777802</v>
      </c>
    </row>
    <row r="23" spans="1:12" ht="18" customHeight="1" x14ac:dyDescent="0.25">
      <c r="A23" s="41">
        <v>300</v>
      </c>
      <c r="B23" s="176" t="s">
        <v>29</v>
      </c>
      <c r="C23" s="46">
        <v>200</v>
      </c>
      <c r="D23" s="19">
        <v>7.73</v>
      </c>
      <c r="E23" s="4">
        <v>0.1</v>
      </c>
      <c r="F23" s="4">
        <v>0</v>
      </c>
      <c r="G23" s="4">
        <v>20.2</v>
      </c>
      <c r="H23" s="4">
        <v>81.2</v>
      </c>
    </row>
    <row r="24" spans="1:12" ht="18" customHeight="1" x14ac:dyDescent="0.25">
      <c r="A24" s="41">
        <v>300</v>
      </c>
      <c r="B24" s="176" t="s">
        <v>29</v>
      </c>
      <c r="C24" s="46">
        <v>200</v>
      </c>
      <c r="D24" s="19">
        <v>7.73</v>
      </c>
      <c r="E24" s="4">
        <v>0.1</v>
      </c>
      <c r="F24" s="4">
        <v>0</v>
      </c>
      <c r="G24" s="4">
        <v>20.2</v>
      </c>
      <c r="H24" s="4">
        <v>81.2</v>
      </c>
    </row>
    <row r="25" spans="1:12" ht="18" customHeight="1" x14ac:dyDescent="0.25">
      <c r="A25" s="41">
        <v>300</v>
      </c>
      <c r="B25" s="176" t="s">
        <v>29</v>
      </c>
      <c r="C25" s="46">
        <v>200</v>
      </c>
      <c r="D25" s="19">
        <v>7.73</v>
      </c>
      <c r="E25" s="4">
        <v>0.1</v>
      </c>
      <c r="F25" s="4">
        <v>0</v>
      </c>
      <c r="G25" s="4">
        <v>36.47</v>
      </c>
      <c r="H25" s="4">
        <v>189.84</v>
      </c>
      <c r="I25" s="11"/>
      <c r="J25" s="11"/>
      <c r="K25" s="11"/>
      <c r="L25" s="11"/>
    </row>
    <row r="26" spans="1:12" ht="18" customHeight="1" x14ac:dyDescent="0.25">
      <c r="A26" s="41">
        <v>311</v>
      </c>
      <c r="B26" s="12" t="s">
        <v>25</v>
      </c>
      <c r="C26" s="27">
        <v>200</v>
      </c>
      <c r="D26" s="19">
        <v>13.58</v>
      </c>
      <c r="E26" s="20">
        <v>0.2</v>
      </c>
      <c r="F26" s="20">
        <v>0.1</v>
      </c>
      <c r="G26" s="20">
        <v>17.2</v>
      </c>
      <c r="H26" s="12">
        <v>70</v>
      </c>
    </row>
    <row r="27" spans="1:12" ht="18" customHeight="1" x14ac:dyDescent="0.25">
      <c r="A27" s="41" t="s">
        <v>36</v>
      </c>
      <c r="B27" s="13" t="s">
        <v>159</v>
      </c>
      <c r="C27" s="52">
        <v>45</v>
      </c>
      <c r="D27" s="37">
        <f>14.3+3.18</f>
        <v>17.48</v>
      </c>
      <c r="E27" s="17">
        <v>1.82</v>
      </c>
      <c r="F27" s="17">
        <v>0.4</v>
      </c>
      <c r="G27" s="17">
        <v>1.64</v>
      </c>
      <c r="H27" s="17">
        <v>17.5</v>
      </c>
    </row>
    <row r="28" spans="1:12" s="8" customFormat="1" ht="18" customHeight="1" x14ac:dyDescent="0.25">
      <c r="A28" s="41" t="s">
        <v>36</v>
      </c>
      <c r="B28" s="13" t="s">
        <v>159</v>
      </c>
      <c r="C28" s="52">
        <v>50</v>
      </c>
      <c r="D28" s="37">
        <f>14.3+3.18</f>
        <v>17.48</v>
      </c>
      <c r="E28" s="17">
        <v>1.82</v>
      </c>
      <c r="F28" s="17">
        <v>0.4</v>
      </c>
      <c r="G28" s="17">
        <v>1.64</v>
      </c>
      <c r="H28" s="17">
        <v>17.5</v>
      </c>
      <c r="I28" s="180"/>
      <c r="J28" s="180"/>
      <c r="K28" s="180"/>
      <c r="L28" s="180"/>
    </row>
    <row r="29" spans="1:12" s="8" customFormat="1" ht="18" customHeight="1" x14ac:dyDescent="0.25">
      <c r="A29" s="41">
        <v>136</v>
      </c>
      <c r="B29" s="23" t="s">
        <v>153</v>
      </c>
      <c r="C29" s="52">
        <v>90</v>
      </c>
      <c r="D29" s="37">
        <f>35.05+3.83</f>
        <v>38.879999999999995</v>
      </c>
      <c r="E29" s="19">
        <v>5.64</v>
      </c>
      <c r="F29" s="19">
        <v>5.9500000000000011</v>
      </c>
      <c r="G29" s="19">
        <v>13.9</v>
      </c>
      <c r="H29" s="19">
        <v>131.71</v>
      </c>
      <c r="I29" s="180"/>
      <c r="J29" s="180"/>
      <c r="K29" s="180"/>
      <c r="L29" s="180"/>
    </row>
    <row r="30" spans="1:12" ht="18" customHeight="1" x14ac:dyDescent="0.25">
      <c r="A30" s="41" t="s">
        <v>36</v>
      </c>
      <c r="B30" s="23" t="s">
        <v>118</v>
      </c>
      <c r="C30" s="51">
        <v>10</v>
      </c>
      <c r="D30" s="19">
        <v>3.58</v>
      </c>
      <c r="E30" s="19">
        <v>0.36399999999999999</v>
      </c>
      <c r="F30" s="19">
        <v>0.08</v>
      </c>
      <c r="G30" s="19">
        <v>0.32799999999999996</v>
      </c>
      <c r="H30" s="19">
        <v>3.5</v>
      </c>
    </row>
    <row r="31" spans="1:12" ht="18" customHeight="1" x14ac:dyDescent="0.25">
      <c r="A31" s="41" t="s">
        <v>36</v>
      </c>
      <c r="B31" s="23" t="s">
        <v>118</v>
      </c>
      <c r="C31" s="51">
        <v>10</v>
      </c>
      <c r="D31" s="19">
        <v>3.58</v>
      </c>
      <c r="E31" s="19">
        <v>0.43680000000000002</v>
      </c>
      <c r="F31" s="19">
        <v>9.5999999999999988E-2</v>
      </c>
      <c r="G31" s="19">
        <v>0.39359999999999995</v>
      </c>
      <c r="H31" s="19">
        <v>4.2</v>
      </c>
    </row>
    <row r="32" spans="1:12" ht="18" customHeight="1" x14ac:dyDescent="0.25">
      <c r="A32" s="41" t="s">
        <v>36</v>
      </c>
      <c r="B32" s="23" t="s">
        <v>118</v>
      </c>
      <c r="C32" s="51">
        <v>10</v>
      </c>
      <c r="D32" s="19">
        <v>3.58</v>
      </c>
      <c r="E32" s="19">
        <v>0.80190000000000028</v>
      </c>
      <c r="F32" s="19">
        <v>0.17820000000000003</v>
      </c>
      <c r="G32" s="19">
        <v>0.72270000000000012</v>
      </c>
      <c r="H32" s="19">
        <v>7.7021999999999995</v>
      </c>
    </row>
    <row r="33" spans="1:12" s="8" customFormat="1" ht="18" customHeight="1" x14ac:dyDescent="0.25">
      <c r="A33" s="41">
        <v>227</v>
      </c>
      <c r="B33" s="60" t="s">
        <v>34</v>
      </c>
      <c r="C33" s="51">
        <v>150</v>
      </c>
      <c r="D33" s="19">
        <v>9.19</v>
      </c>
      <c r="E33" s="28">
        <v>6.6666666666666696</v>
      </c>
      <c r="F33" s="28">
        <v>5.8666666666666671</v>
      </c>
      <c r="G33" s="28">
        <v>30.3333333333333</v>
      </c>
      <c r="H33" s="28">
        <v>200.8</v>
      </c>
      <c r="I33" s="180"/>
      <c r="J33" s="180"/>
      <c r="K33" s="180"/>
      <c r="L33" s="180"/>
    </row>
    <row r="34" spans="1:12" s="8" customFormat="1" ht="18" customHeight="1" x14ac:dyDescent="0.25">
      <c r="A34" s="41">
        <v>227</v>
      </c>
      <c r="B34" s="60" t="s">
        <v>34</v>
      </c>
      <c r="C34" s="51">
        <v>150</v>
      </c>
      <c r="D34" s="19">
        <v>9.19</v>
      </c>
      <c r="E34" s="28">
        <v>6.6666666666666696</v>
      </c>
      <c r="F34" s="28">
        <v>5.8666666666666671</v>
      </c>
      <c r="G34" s="28">
        <v>30.3333333333333</v>
      </c>
      <c r="H34" s="28">
        <v>200.8</v>
      </c>
      <c r="I34" s="180"/>
      <c r="J34" s="180"/>
      <c r="K34" s="180"/>
      <c r="L34" s="180"/>
    </row>
    <row r="35" spans="1:12" ht="18" customHeight="1" x14ac:dyDescent="0.25">
      <c r="A35" s="41">
        <v>227</v>
      </c>
      <c r="B35" s="60" t="s">
        <v>34</v>
      </c>
      <c r="C35" s="51">
        <v>150</v>
      </c>
      <c r="D35" s="19">
        <v>9.19</v>
      </c>
      <c r="E35" s="28">
        <v>6.6666666666666696</v>
      </c>
      <c r="F35" s="28">
        <v>5.8666666666666671</v>
      </c>
      <c r="G35" s="28">
        <v>30.3333333333333</v>
      </c>
      <c r="H35" s="28">
        <v>200.8</v>
      </c>
    </row>
    <row r="36" spans="1:12" ht="18" customHeight="1" x14ac:dyDescent="0.25">
      <c r="A36" s="100">
        <v>227</v>
      </c>
      <c r="B36" s="60" t="s">
        <v>132</v>
      </c>
      <c r="C36" s="51">
        <v>150</v>
      </c>
      <c r="D36" s="19">
        <v>9.19</v>
      </c>
      <c r="E36" s="28">
        <v>6.6666666666666696</v>
      </c>
      <c r="F36" s="28">
        <v>5.8666666666666671</v>
      </c>
      <c r="G36" s="28">
        <v>30.3333333333333</v>
      </c>
      <c r="H36" s="28">
        <v>200.8</v>
      </c>
    </row>
    <row r="37" spans="1:12" ht="15.75" x14ac:dyDescent="0.25">
      <c r="A37" s="41">
        <v>289</v>
      </c>
      <c r="B37" s="13" t="s">
        <v>137</v>
      </c>
      <c r="C37" s="46">
        <v>100</v>
      </c>
      <c r="D37" s="37">
        <v>12</v>
      </c>
      <c r="E37" s="4">
        <v>3.9</v>
      </c>
      <c r="F37" s="4">
        <v>1.5</v>
      </c>
      <c r="G37" s="4">
        <v>37.200000000000003</v>
      </c>
      <c r="H37" s="4">
        <v>177.9</v>
      </c>
    </row>
    <row r="38" spans="1:12" s="8" customFormat="1" ht="18" customHeight="1" x14ac:dyDescent="0.25">
      <c r="A38" s="41">
        <v>289</v>
      </c>
      <c r="B38" s="13" t="s">
        <v>137</v>
      </c>
      <c r="C38" s="46">
        <v>75</v>
      </c>
      <c r="D38" s="37">
        <f>12/100*75</f>
        <v>9</v>
      </c>
      <c r="E38" s="4">
        <v>3.9</v>
      </c>
      <c r="F38" s="4">
        <v>1.5</v>
      </c>
      <c r="G38" s="4">
        <v>19.970000000000002</v>
      </c>
      <c r="H38" s="4">
        <v>120.13000000000001</v>
      </c>
      <c r="I38" s="180"/>
      <c r="J38" s="180"/>
      <c r="K38" s="180"/>
      <c r="L38" s="180"/>
    </row>
    <row r="39" spans="1:12" s="8" customFormat="1" ht="18" customHeight="1" x14ac:dyDescent="0.25">
      <c r="A39" s="41">
        <v>289</v>
      </c>
      <c r="B39" s="13" t="s">
        <v>137</v>
      </c>
      <c r="C39" s="46">
        <v>100</v>
      </c>
      <c r="D39" s="37">
        <v>12</v>
      </c>
      <c r="E39" s="4">
        <v>3.9</v>
      </c>
      <c r="F39" s="4">
        <v>1.5</v>
      </c>
      <c r="G39" s="4">
        <v>37.200000000000003</v>
      </c>
      <c r="H39" s="4">
        <v>177.9</v>
      </c>
      <c r="I39" s="180"/>
      <c r="J39" s="180"/>
      <c r="K39" s="180"/>
      <c r="L39" s="180"/>
    </row>
    <row r="40" spans="1:12" ht="18" customHeight="1" x14ac:dyDescent="0.25">
      <c r="A40" s="41">
        <v>289</v>
      </c>
      <c r="B40" s="13" t="s">
        <v>177</v>
      </c>
      <c r="C40" s="46">
        <v>50</v>
      </c>
      <c r="D40" s="37">
        <v>12</v>
      </c>
      <c r="E40" s="4">
        <v>3.9</v>
      </c>
      <c r="F40" s="4">
        <v>1.5</v>
      </c>
      <c r="G40" s="4">
        <v>11.570000000000004</v>
      </c>
      <c r="H40" s="4">
        <v>75.38</v>
      </c>
    </row>
    <row r="41" spans="1:12" ht="18" customHeight="1" x14ac:dyDescent="0.25">
      <c r="A41" s="147" t="s">
        <v>39</v>
      </c>
      <c r="B41" s="23" t="s">
        <v>21</v>
      </c>
      <c r="C41" s="53">
        <v>30</v>
      </c>
      <c r="D41" s="35">
        <v>8.85</v>
      </c>
      <c r="E41" s="61">
        <v>0.6</v>
      </c>
      <c r="F41" s="61">
        <v>0.1</v>
      </c>
      <c r="G41" s="61">
        <v>1.9</v>
      </c>
      <c r="H41" s="61">
        <v>13</v>
      </c>
    </row>
    <row r="42" spans="1:12" ht="18" customHeight="1" x14ac:dyDescent="0.25">
      <c r="A42" s="59">
        <v>258</v>
      </c>
      <c r="B42" s="4" t="s">
        <v>172</v>
      </c>
      <c r="C42" s="46">
        <v>120</v>
      </c>
      <c r="D42" s="37">
        <v>34</v>
      </c>
      <c r="E42" s="15">
        <v>4.7199999999999989</v>
      </c>
      <c r="F42" s="15">
        <v>9.9599999999999991</v>
      </c>
      <c r="G42" s="15">
        <v>41.6</v>
      </c>
      <c r="H42" s="15">
        <v>272.82000000000005</v>
      </c>
    </row>
    <row r="43" spans="1:12" ht="18" customHeight="1" x14ac:dyDescent="0.25">
      <c r="A43" s="41">
        <v>234</v>
      </c>
      <c r="B43" s="2" t="s">
        <v>23</v>
      </c>
      <c r="C43" s="51">
        <v>105</v>
      </c>
      <c r="D43" s="19">
        <v>41.3</v>
      </c>
      <c r="E43" s="28">
        <v>4.22</v>
      </c>
      <c r="F43" s="28">
        <v>12.93</v>
      </c>
      <c r="G43" s="28">
        <v>8</v>
      </c>
      <c r="H43" s="28">
        <v>152.32</v>
      </c>
    </row>
    <row r="44" spans="1:12" ht="18" customHeight="1" x14ac:dyDescent="0.25">
      <c r="A44" s="100">
        <v>158</v>
      </c>
      <c r="B44" s="23" t="s">
        <v>162</v>
      </c>
      <c r="C44" s="52">
        <v>220</v>
      </c>
      <c r="D44" s="37">
        <f>19.54+3.5+10.48+0.96+6.63+3.19-11.37</f>
        <v>32.93</v>
      </c>
      <c r="E44" s="13">
        <v>10.35</v>
      </c>
      <c r="F44" s="17">
        <v>13.643333333333333</v>
      </c>
      <c r="G44" s="17">
        <v>31.78</v>
      </c>
      <c r="H44" s="87">
        <v>282.28000000000003</v>
      </c>
    </row>
    <row r="45" spans="1:12" ht="18" customHeight="1" x14ac:dyDescent="0.25">
      <c r="A45" s="41">
        <v>65</v>
      </c>
      <c r="B45" s="18" t="s">
        <v>30</v>
      </c>
      <c r="C45" s="51">
        <v>200</v>
      </c>
      <c r="D45" s="37">
        <f>10.81+2.43</f>
        <v>13.24</v>
      </c>
      <c r="E45" s="12">
        <v>6.7160000000000002</v>
      </c>
      <c r="F45" s="12">
        <v>6.8080000000000007</v>
      </c>
      <c r="G45" s="12">
        <v>25.576000000000001</v>
      </c>
      <c r="H45" s="12">
        <v>190.44</v>
      </c>
    </row>
    <row r="46" spans="1:12" ht="18" customHeight="1" x14ac:dyDescent="0.25">
      <c r="A46" s="59">
        <v>65</v>
      </c>
      <c r="B46" s="18" t="s">
        <v>30</v>
      </c>
      <c r="C46" s="51">
        <v>230</v>
      </c>
      <c r="D46" s="37">
        <f>13.24/200*230</f>
        <v>15.225999999999999</v>
      </c>
      <c r="E46" s="184">
        <v>6.7160000000000002</v>
      </c>
      <c r="F46" s="184">
        <v>11.178000000000001</v>
      </c>
      <c r="G46" s="184">
        <v>25.576000000000001</v>
      </c>
      <c r="H46" s="12">
        <v>190.44</v>
      </c>
      <c r="I46" s="11"/>
      <c r="J46" s="11"/>
      <c r="K46" s="11"/>
      <c r="L46" s="11"/>
    </row>
    <row r="47" spans="1:12" ht="18" customHeight="1" x14ac:dyDescent="0.25">
      <c r="A47" s="147" t="s">
        <v>170</v>
      </c>
      <c r="B47" s="4" t="s">
        <v>171</v>
      </c>
      <c r="C47" s="175">
        <v>150</v>
      </c>
      <c r="D47" s="37">
        <v>13.31</v>
      </c>
      <c r="E47" s="17">
        <v>5.910000000000001</v>
      </c>
      <c r="F47" s="17">
        <v>8.16</v>
      </c>
      <c r="G47" s="17">
        <v>25.21</v>
      </c>
      <c r="H47" s="17">
        <v>197.92</v>
      </c>
    </row>
    <row r="48" spans="1:12" s="8" customFormat="1" ht="18" customHeight="1" x14ac:dyDescent="0.25">
      <c r="A48" s="44">
        <v>227</v>
      </c>
      <c r="B48" s="189" t="s">
        <v>175</v>
      </c>
      <c r="C48" s="190">
        <v>150</v>
      </c>
      <c r="D48" s="193">
        <f>9.19+4.13</f>
        <v>13.32</v>
      </c>
      <c r="E48" s="17">
        <v>5.5066666666666695</v>
      </c>
      <c r="F48" s="17">
        <v>5.8666666666666671</v>
      </c>
      <c r="G48" s="17">
        <v>25.3333333333333</v>
      </c>
      <c r="H48" s="17">
        <v>180.8</v>
      </c>
      <c r="I48" s="11"/>
      <c r="J48" s="11"/>
      <c r="K48" s="11"/>
      <c r="L48" s="11"/>
    </row>
    <row r="49" spans="1:12" s="8" customFormat="1" ht="18" customHeight="1" x14ac:dyDescent="0.25">
      <c r="A49" s="59">
        <v>65</v>
      </c>
      <c r="B49" s="1" t="s">
        <v>32</v>
      </c>
      <c r="C49" s="27">
        <v>220</v>
      </c>
      <c r="D49" s="19">
        <f>9.75+1.55+3.38</f>
        <v>14.68</v>
      </c>
      <c r="E49" s="24">
        <v>6.4</v>
      </c>
      <c r="F49" s="24">
        <v>8</v>
      </c>
      <c r="G49" s="24">
        <v>30.7</v>
      </c>
      <c r="H49" s="24">
        <v>220.4</v>
      </c>
      <c r="I49" s="180"/>
      <c r="J49" s="180"/>
      <c r="K49" s="180"/>
      <c r="L49" s="180"/>
    </row>
    <row r="50" spans="1:12" ht="18" customHeight="1" x14ac:dyDescent="0.25">
      <c r="A50" s="41">
        <v>55</v>
      </c>
      <c r="B50" s="18" t="s">
        <v>157</v>
      </c>
      <c r="C50" s="27">
        <v>230</v>
      </c>
      <c r="D50" s="19">
        <f>12.75/200*230</f>
        <v>14.6625</v>
      </c>
      <c r="E50" s="12">
        <v>8.25</v>
      </c>
      <c r="F50" s="12">
        <v>9.6999999999999993</v>
      </c>
      <c r="G50" s="12">
        <v>31.8</v>
      </c>
      <c r="H50" s="12">
        <v>247.5</v>
      </c>
    </row>
    <row r="51" spans="1:12" ht="18" customHeight="1" x14ac:dyDescent="0.25">
      <c r="A51" s="41">
        <v>55</v>
      </c>
      <c r="B51" s="18" t="s">
        <v>157</v>
      </c>
      <c r="C51" s="27">
        <v>230</v>
      </c>
      <c r="D51" s="19">
        <f>12.75/200*230</f>
        <v>14.6625</v>
      </c>
      <c r="E51" s="12">
        <v>8.25</v>
      </c>
      <c r="F51" s="12">
        <v>9.6999999999999993</v>
      </c>
      <c r="G51" s="12">
        <v>31.8</v>
      </c>
      <c r="H51" s="12">
        <v>247.5</v>
      </c>
    </row>
    <row r="52" spans="1:12" s="8" customFormat="1" ht="18" customHeight="1" x14ac:dyDescent="0.25">
      <c r="A52" s="70" t="s">
        <v>57</v>
      </c>
      <c r="B52" s="1" t="s">
        <v>117</v>
      </c>
      <c r="C52" s="67">
        <v>250</v>
      </c>
      <c r="D52" s="66">
        <v>18.07</v>
      </c>
      <c r="E52" s="66">
        <v>7.3999999999999995</v>
      </c>
      <c r="F52" s="66">
        <v>7.5</v>
      </c>
      <c r="G52" s="66">
        <v>24.8</v>
      </c>
      <c r="H52" s="68">
        <v>195.8</v>
      </c>
      <c r="I52" s="180"/>
      <c r="J52" s="180"/>
      <c r="K52" s="180"/>
      <c r="L52" s="180"/>
    </row>
    <row r="53" spans="1:12" ht="18" customHeight="1" x14ac:dyDescent="0.2">
      <c r="A53" s="70" t="s">
        <v>57</v>
      </c>
      <c r="B53" s="1" t="s">
        <v>117</v>
      </c>
      <c r="C53" s="67">
        <v>200</v>
      </c>
      <c r="D53" s="66">
        <v>12.46</v>
      </c>
      <c r="E53" s="66">
        <v>5.92</v>
      </c>
      <c r="F53" s="66">
        <v>6</v>
      </c>
      <c r="G53" s="66">
        <v>19.84</v>
      </c>
      <c r="H53" s="66">
        <v>156.64000000000001</v>
      </c>
    </row>
    <row r="54" spans="1:12" ht="15.75" x14ac:dyDescent="0.2">
      <c r="A54" s="174">
        <v>56</v>
      </c>
      <c r="B54" s="177" t="s">
        <v>169</v>
      </c>
      <c r="C54" s="178">
        <v>220</v>
      </c>
      <c r="D54" s="19">
        <f>17.88-5.63</f>
        <v>12.25</v>
      </c>
      <c r="E54" s="23">
        <v>4.51</v>
      </c>
      <c r="F54" s="23">
        <v>8.58</v>
      </c>
      <c r="G54" s="23">
        <v>36.270000000000003</v>
      </c>
      <c r="H54" s="23">
        <v>242.95999999999998</v>
      </c>
    </row>
    <row r="55" spans="1:12" ht="18" customHeight="1" x14ac:dyDescent="0.25">
      <c r="A55" s="41">
        <v>241</v>
      </c>
      <c r="B55" s="25" t="s">
        <v>156</v>
      </c>
      <c r="C55" s="192">
        <v>110</v>
      </c>
      <c r="D55" s="194">
        <v>37.28</v>
      </c>
      <c r="E55" s="78">
        <v>9.2200000000000006</v>
      </c>
      <c r="F55" s="78">
        <v>13.82</v>
      </c>
      <c r="G55" s="78">
        <v>7.629999999999999</v>
      </c>
      <c r="H55" s="78">
        <v>189.9</v>
      </c>
    </row>
    <row r="56" spans="1:12" ht="18" customHeight="1" x14ac:dyDescent="0.25">
      <c r="A56" s="41">
        <v>110</v>
      </c>
      <c r="B56" s="60" t="s">
        <v>173</v>
      </c>
      <c r="C56" s="51">
        <v>90</v>
      </c>
      <c r="D56" s="19">
        <f>42.13/100*90-12.5</f>
        <v>25.417000000000002</v>
      </c>
      <c r="E56" s="28">
        <v>9.0299999999999994</v>
      </c>
      <c r="F56" s="28">
        <v>8.73</v>
      </c>
      <c r="G56" s="28">
        <v>18.7</v>
      </c>
      <c r="H56" s="28">
        <v>188.34</v>
      </c>
    </row>
    <row r="57" spans="1:12" s="8" customFormat="1" ht="18" customHeight="1" x14ac:dyDescent="0.25">
      <c r="A57" s="41">
        <v>110</v>
      </c>
      <c r="B57" s="188" t="s">
        <v>165</v>
      </c>
      <c r="C57" s="190">
        <v>90</v>
      </c>
      <c r="D57" s="35">
        <f>40.96+8.12+2</f>
        <v>51.08</v>
      </c>
      <c r="E57" s="28">
        <v>5.8</v>
      </c>
      <c r="F57" s="28">
        <v>7.8100000000000005</v>
      </c>
      <c r="G57" s="28">
        <v>7.7299999999999969</v>
      </c>
      <c r="H57" s="28">
        <v>125.30999999999999</v>
      </c>
      <c r="I57" s="180"/>
      <c r="J57" s="180"/>
      <c r="K57" s="180"/>
      <c r="L57" s="180"/>
    </row>
    <row r="58" spans="1:12" s="8" customFormat="1" ht="18" customHeight="1" x14ac:dyDescent="0.25">
      <c r="A58" s="41">
        <v>97</v>
      </c>
      <c r="B58" s="1" t="s">
        <v>154</v>
      </c>
      <c r="C58" s="175">
        <v>90</v>
      </c>
      <c r="D58" s="19">
        <f>50.35-14+5-0.41+0.59-1.21+2+3.19-3.81</f>
        <v>41.7</v>
      </c>
      <c r="E58" s="14">
        <v>7.3199999999999994</v>
      </c>
      <c r="F58" s="14">
        <v>8.24</v>
      </c>
      <c r="G58" s="14">
        <v>9.1499999999999986</v>
      </c>
      <c r="H58" s="14">
        <v>140.04</v>
      </c>
      <c r="I58" s="180"/>
      <c r="J58" s="180"/>
      <c r="K58" s="180"/>
      <c r="L58" s="180"/>
    </row>
    <row r="59" spans="1:12" ht="18" customHeight="1" x14ac:dyDescent="0.25">
      <c r="A59" s="41">
        <v>107</v>
      </c>
      <c r="B59" s="23" t="s">
        <v>81</v>
      </c>
      <c r="C59" s="52">
        <v>100</v>
      </c>
      <c r="D59" s="19">
        <v>34.75</v>
      </c>
      <c r="E59" s="20">
        <v>7.39</v>
      </c>
      <c r="F59" s="20">
        <v>7.5499999999999989</v>
      </c>
      <c r="G59" s="20">
        <v>18</v>
      </c>
      <c r="H59" s="20">
        <v>170.01</v>
      </c>
    </row>
    <row r="60" spans="1:12" ht="18" customHeight="1" x14ac:dyDescent="0.25">
      <c r="A60" s="41" t="s">
        <v>36</v>
      </c>
      <c r="B60" s="13" t="s">
        <v>33</v>
      </c>
      <c r="C60" s="52">
        <v>90</v>
      </c>
      <c r="D60" s="37">
        <v>24</v>
      </c>
      <c r="E60" s="17">
        <v>2.1840000000000002</v>
      </c>
      <c r="F60" s="17">
        <v>0.48</v>
      </c>
      <c r="G60" s="17">
        <v>1.9679999999999997</v>
      </c>
      <c r="H60" s="17">
        <v>21</v>
      </c>
    </row>
    <row r="61" spans="1:12" ht="18" customHeight="1" x14ac:dyDescent="0.25">
      <c r="A61" s="41" t="s">
        <v>36</v>
      </c>
      <c r="B61" s="127" t="s">
        <v>33</v>
      </c>
      <c r="C61" s="52">
        <v>70</v>
      </c>
      <c r="D61" s="37">
        <f>13.2/55*70</f>
        <v>16.8</v>
      </c>
      <c r="E61" s="15">
        <v>4.009500000000001</v>
      </c>
      <c r="F61" s="15">
        <v>0.89100000000000013</v>
      </c>
      <c r="G61" s="15">
        <v>3.6135000000000006</v>
      </c>
      <c r="H61" s="15">
        <v>38.510999999999996</v>
      </c>
    </row>
    <row r="62" spans="1:12" ht="18" customHeight="1" x14ac:dyDescent="0.25">
      <c r="A62" s="41" t="s">
        <v>36</v>
      </c>
      <c r="B62" s="4" t="s">
        <v>33</v>
      </c>
      <c r="C62" s="52">
        <v>60</v>
      </c>
      <c r="D62" s="37">
        <f>14.3/50*60</f>
        <v>17.160000000000004</v>
      </c>
      <c r="E62" s="17">
        <v>2.1840000000000002</v>
      </c>
      <c r="F62" s="17">
        <v>0.48</v>
      </c>
      <c r="G62" s="17">
        <v>1.9679999999999997</v>
      </c>
      <c r="H62" s="17">
        <v>21</v>
      </c>
    </row>
    <row r="63" spans="1:12" ht="18" customHeight="1" x14ac:dyDescent="0.25">
      <c r="A63" s="41" t="s">
        <v>36</v>
      </c>
      <c r="B63" s="13" t="s">
        <v>33</v>
      </c>
      <c r="C63" s="52">
        <v>60</v>
      </c>
      <c r="D63" s="37">
        <f>14.3+0.97</f>
        <v>15.270000000000001</v>
      </c>
      <c r="E63" s="17">
        <v>3.444</v>
      </c>
      <c r="F63" s="17">
        <v>0.08</v>
      </c>
      <c r="G63" s="17">
        <v>17.317999999999998</v>
      </c>
      <c r="H63" s="17">
        <v>82.83</v>
      </c>
      <c r="I63" s="11"/>
      <c r="J63" s="11"/>
      <c r="K63" s="11"/>
      <c r="L63" s="11"/>
    </row>
    <row r="64" spans="1:12" ht="18" customHeight="1" x14ac:dyDescent="0.25">
      <c r="A64" s="100" t="s">
        <v>36</v>
      </c>
      <c r="B64" s="13" t="s">
        <v>31</v>
      </c>
      <c r="C64" s="191">
        <v>55</v>
      </c>
      <c r="D64" s="37">
        <v>13.2</v>
      </c>
      <c r="E64" s="17">
        <v>2.1840000000000002</v>
      </c>
      <c r="F64" s="17">
        <v>0.48</v>
      </c>
      <c r="G64" s="17">
        <v>1.9679999999999997</v>
      </c>
      <c r="H64" s="17">
        <v>21</v>
      </c>
    </row>
    <row r="65" spans="1:12" ht="18" customHeight="1" x14ac:dyDescent="0.25">
      <c r="A65" s="41" t="s">
        <v>36</v>
      </c>
      <c r="B65" s="4" t="s">
        <v>31</v>
      </c>
      <c r="C65" s="52">
        <v>80</v>
      </c>
      <c r="D65" s="37">
        <v>16</v>
      </c>
      <c r="E65" s="15">
        <v>3.64</v>
      </c>
      <c r="F65" s="15">
        <v>0.8</v>
      </c>
      <c r="G65" s="15">
        <v>3.28</v>
      </c>
      <c r="H65" s="15">
        <v>35</v>
      </c>
    </row>
    <row r="66" spans="1:12" s="8" customFormat="1" ht="18" customHeight="1" x14ac:dyDescent="0.25">
      <c r="A66" s="147" t="s">
        <v>37</v>
      </c>
      <c r="B66" s="4" t="s">
        <v>0</v>
      </c>
      <c r="C66" s="46">
        <v>40</v>
      </c>
      <c r="D66" s="19">
        <f>3.12/30*40</f>
        <v>4.16</v>
      </c>
      <c r="E66" s="4">
        <v>2.37</v>
      </c>
      <c r="F66" s="4">
        <v>0.3</v>
      </c>
      <c r="G66" s="4">
        <v>14.49</v>
      </c>
      <c r="H66" s="4">
        <v>70.14</v>
      </c>
      <c r="I66" s="180"/>
      <c r="J66" s="180"/>
      <c r="K66" s="180"/>
      <c r="L66" s="180"/>
    </row>
    <row r="67" spans="1:12" s="8" customFormat="1" ht="18" customHeight="1" x14ac:dyDescent="0.25">
      <c r="A67" s="44" t="s">
        <v>37</v>
      </c>
      <c r="B67" s="4" t="s">
        <v>0</v>
      </c>
      <c r="C67" s="46">
        <v>60</v>
      </c>
      <c r="D67" s="19">
        <f>3.12/30*60</f>
        <v>6.24</v>
      </c>
      <c r="E67" s="4">
        <v>2.37</v>
      </c>
      <c r="F67" s="4">
        <v>0.3</v>
      </c>
      <c r="G67" s="4">
        <v>14.49</v>
      </c>
      <c r="H67" s="4">
        <v>70.14</v>
      </c>
      <c r="I67" s="180"/>
      <c r="J67" s="180"/>
      <c r="K67" s="180"/>
      <c r="L67" s="180"/>
    </row>
    <row r="68" spans="1:12" ht="18" customHeight="1" x14ac:dyDescent="0.25">
      <c r="A68" s="44" t="s">
        <v>37</v>
      </c>
      <c r="B68" s="4" t="s">
        <v>0</v>
      </c>
      <c r="C68" s="46">
        <v>50</v>
      </c>
      <c r="D68" s="19">
        <f>3.12/30*50</f>
        <v>5.2</v>
      </c>
      <c r="E68" s="4">
        <v>2.37</v>
      </c>
      <c r="F68" s="4">
        <v>0.3</v>
      </c>
      <c r="G68" s="4">
        <v>14.49</v>
      </c>
      <c r="H68" s="4">
        <v>70.14</v>
      </c>
    </row>
    <row r="69" spans="1:12" ht="18" customHeight="1" x14ac:dyDescent="0.25">
      <c r="A69" s="44" t="s">
        <v>38</v>
      </c>
      <c r="B69" s="4" t="s">
        <v>5</v>
      </c>
      <c r="C69" s="46">
        <v>30</v>
      </c>
      <c r="D69" s="37">
        <v>3.54</v>
      </c>
      <c r="E69" s="2">
        <v>1.98</v>
      </c>
      <c r="F69" s="47">
        <v>0.36</v>
      </c>
      <c r="G69" s="2">
        <v>10.02</v>
      </c>
      <c r="H69" s="2">
        <v>51.24</v>
      </c>
    </row>
    <row r="70" spans="1:12" ht="18" customHeight="1" x14ac:dyDescent="0.25">
      <c r="A70" s="44" t="s">
        <v>38</v>
      </c>
      <c r="B70" s="189" t="s">
        <v>5</v>
      </c>
      <c r="C70" s="192">
        <v>30</v>
      </c>
      <c r="D70" s="193">
        <v>3.54</v>
      </c>
      <c r="E70" s="2">
        <v>1.98</v>
      </c>
      <c r="F70" s="47">
        <v>0.36</v>
      </c>
      <c r="G70" s="2">
        <v>10.02</v>
      </c>
      <c r="H70" s="2">
        <v>51.24</v>
      </c>
    </row>
    <row r="71" spans="1:12" ht="18" customHeight="1" x14ac:dyDescent="0.25">
      <c r="A71" s="44" t="s">
        <v>38</v>
      </c>
      <c r="B71" s="4" t="s">
        <v>5</v>
      </c>
      <c r="C71" s="46">
        <v>40</v>
      </c>
      <c r="D71" s="37">
        <f>3.54/30*40</f>
        <v>4.7200000000000006</v>
      </c>
      <c r="E71" s="2">
        <v>1.98</v>
      </c>
      <c r="F71" s="47">
        <v>0.36</v>
      </c>
      <c r="G71" s="2">
        <v>10.02</v>
      </c>
      <c r="H71" s="2">
        <v>51.24</v>
      </c>
    </row>
    <row r="72" spans="1:12" ht="18" customHeight="1" x14ac:dyDescent="0.25">
      <c r="A72" s="44" t="s">
        <v>38</v>
      </c>
      <c r="B72" s="4" t="s">
        <v>5</v>
      </c>
      <c r="C72" s="56">
        <v>30</v>
      </c>
      <c r="D72" s="37">
        <v>3.54</v>
      </c>
      <c r="E72" s="2">
        <v>1.98</v>
      </c>
      <c r="F72" s="47">
        <v>0.36</v>
      </c>
      <c r="G72" s="2">
        <v>10.02</v>
      </c>
      <c r="H72" s="2">
        <v>51.24</v>
      </c>
    </row>
    <row r="73" spans="1:12" ht="18" customHeight="1" x14ac:dyDescent="0.25">
      <c r="A73" s="44" t="s">
        <v>38</v>
      </c>
      <c r="B73" s="4" t="s">
        <v>5</v>
      </c>
      <c r="C73" s="46">
        <v>30</v>
      </c>
      <c r="D73" s="37">
        <v>3.54</v>
      </c>
      <c r="E73" s="2">
        <v>1.98</v>
      </c>
      <c r="F73" s="47">
        <v>0.36</v>
      </c>
      <c r="G73" s="2">
        <v>10.02</v>
      </c>
      <c r="H73" s="2">
        <v>51.24</v>
      </c>
    </row>
    <row r="74" spans="1:12" ht="18" customHeight="1" x14ac:dyDescent="0.25">
      <c r="A74" s="44" t="s">
        <v>38</v>
      </c>
      <c r="B74" s="4" t="s">
        <v>5</v>
      </c>
      <c r="C74" s="46">
        <v>30</v>
      </c>
      <c r="D74" s="193">
        <v>3.54</v>
      </c>
      <c r="E74" s="2">
        <v>3.3000000000000003</v>
      </c>
      <c r="F74" s="2">
        <v>0.6</v>
      </c>
      <c r="G74" s="2">
        <v>16.7</v>
      </c>
      <c r="H74" s="2">
        <v>85.399999999999991</v>
      </c>
    </row>
    <row r="75" spans="1:12" ht="18" customHeight="1" x14ac:dyDescent="0.25">
      <c r="A75" s="44" t="s">
        <v>38</v>
      </c>
      <c r="B75" s="4" t="s">
        <v>5</v>
      </c>
      <c r="C75" s="46">
        <v>30</v>
      </c>
      <c r="D75" s="37">
        <v>3.54</v>
      </c>
      <c r="E75" s="2">
        <v>1.98</v>
      </c>
      <c r="F75" s="47">
        <v>0.36</v>
      </c>
      <c r="G75" s="2">
        <v>10.02</v>
      </c>
      <c r="H75" s="2">
        <v>51.24</v>
      </c>
    </row>
    <row r="76" spans="1:12" s="8" customFormat="1" ht="18" customHeight="1" x14ac:dyDescent="0.25">
      <c r="A76" s="147" t="s">
        <v>38</v>
      </c>
      <c r="B76" s="4" t="s">
        <v>5</v>
      </c>
      <c r="C76" s="46">
        <v>30</v>
      </c>
      <c r="D76" s="37">
        <v>3.54</v>
      </c>
      <c r="E76" s="2">
        <v>1.98</v>
      </c>
      <c r="F76" s="47">
        <v>0.36</v>
      </c>
      <c r="G76" s="2">
        <v>10.02</v>
      </c>
      <c r="H76" s="2">
        <v>51.24</v>
      </c>
      <c r="I76" s="180"/>
      <c r="J76" s="180"/>
      <c r="K76" s="180"/>
      <c r="L76" s="180"/>
    </row>
    <row r="77" spans="1:12" s="8" customFormat="1" ht="18" customHeight="1" x14ac:dyDescent="0.25">
      <c r="A77" s="147" t="s">
        <v>38</v>
      </c>
      <c r="B77" s="4" t="s">
        <v>5</v>
      </c>
      <c r="C77" s="46">
        <v>60</v>
      </c>
      <c r="D77" s="37">
        <f>3.54/30*40</f>
        <v>4.7200000000000006</v>
      </c>
      <c r="E77" s="2">
        <v>3.3000000000000003</v>
      </c>
      <c r="F77" s="47">
        <v>0.6</v>
      </c>
      <c r="G77" s="2">
        <v>16.7</v>
      </c>
      <c r="H77" s="2">
        <v>85.399999999999991</v>
      </c>
      <c r="I77" s="11"/>
      <c r="J77" s="11"/>
      <c r="K77" s="11"/>
      <c r="L77" s="11"/>
    </row>
    <row r="78" spans="1:12" ht="18" customHeight="1" x14ac:dyDescent="0.25">
      <c r="A78" s="44" t="s">
        <v>38</v>
      </c>
      <c r="B78" s="4" t="s">
        <v>5</v>
      </c>
      <c r="C78" s="46">
        <v>30</v>
      </c>
      <c r="D78" s="37">
        <v>3.54</v>
      </c>
      <c r="E78" s="2">
        <v>1.98</v>
      </c>
      <c r="F78" s="47">
        <v>0.36</v>
      </c>
      <c r="G78" s="2">
        <v>10.02</v>
      </c>
      <c r="H78" s="2">
        <v>51.24</v>
      </c>
      <c r="K78" s="11"/>
      <c r="L78" s="11"/>
    </row>
    <row r="79" spans="1:12" ht="18" customHeight="1" x14ac:dyDescent="0.25">
      <c r="A79" s="41">
        <v>300</v>
      </c>
      <c r="B79" s="23" t="s">
        <v>26</v>
      </c>
      <c r="C79" s="51">
        <v>200</v>
      </c>
      <c r="D79" s="19">
        <v>3.52</v>
      </c>
      <c r="E79" s="4">
        <v>0.1</v>
      </c>
      <c r="F79" s="4">
        <v>0</v>
      </c>
      <c r="G79" s="4">
        <v>20.2</v>
      </c>
      <c r="H79" s="4">
        <v>81.2</v>
      </c>
    </row>
    <row r="80" spans="1:12" ht="18" customHeight="1" x14ac:dyDescent="0.25">
      <c r="A80" s="41">
        <v>300</v>
      </c>
      <c r="B80" s="23" t="s">
        <v>26</v>
      </c>
      <c r="C80" s="46">
        <v>200</v>
      </c>
      <c r="D80" s="19">
        <v>3.52</v>
      </c>
      <c r="E80" s="4">
        <v>0.1</v>
      </c>
      <c r="F80" s="4">
        <v>0</v>
      </c>
      <c r="G80" s="4">
        <v>20.2</v>
      </c>
      <c r="H80" s="4">
        <v>81.2</v>
      </c>
    </row>
    <row r="81" spans="1:12" s="8" customFormat="1" ht="18" customHeight="1" x14ac:dyDescent="0.25">
      <c r="A81" s="41">
        <v>300</v>
      </c>
      <c r="B81" s="23" t="s">
        <v>26</v>
      </c>
      <c r="C81" s="46">
        <v>200</v>
      </c>
      <c r="D81" s="19">
        <v>3.52</v>
      </c>
      <c r="E81" s="4">
        <v>0.1</v>
      </c>
      <c r="F81" s="4">
        <v>0</v>
      </c>
      <c r="G81" s="4">
        <v>20.2</v>
      </c>
      <c r="H81" s="4">
        <v>81.2</v>
      </c>
      <c r="I81" s="180"/>
      <c r="J81" s="180"/>
      <c r="K81" s="180"/>
      <c r="L81" s="180"/>
    </row>
    <row r="82" spans="1:12" ht="18" customHeight="1" x14ac:dyDescent="0.25">
      <c r="A82" s="41">
        <v>300</v>
      </c>
      <c r="B82" s="23" t="s">
        <v>26</v>
      </c>
      <c r="C82" s="51">
        <v>200</v>
      </c>
      <c r="D82" s="19">
        <v>3.52</v>
      </c>
      <c r="E82" s="4">
        <v>0.1</v>
      </c>
      <c r="F82" s="4">
        <v>0</v>
      </c>
      <c r="G82" s="4">
        <v>20.2</v>
      </c>
      <c r="H82" s="4">
        <v>81.2</v>
      </c>
    </row>
    <row r="83" spans="1:12" ht="18" customHeight="1" x14ac:dyDescent="0.25">
      <c r="A83" s="41">
        <v>300</v>
      </c>
      <c r="B83" s="23" t="s">
        <v>26</v>
      </c>
      <c r="C83" s="51">
        <v>200</v>
      </c>
      <c r="D83" s="19">
        <v>3.52</v>
      </c>
      <c r="E83" s="4">
        <v>0.1</v>
      </c>
      <c r="F83" s="4">
        <v>0</v>
      </c>
      <c r="G83" s="4">
        <v>20.2</v>
      </c>
      <c r="H83" s="4">
        <v>81.2</v>
      </c>
    </row>
    <row r="84" spans="1:12" ht="18" customHeight="1" x14ac:dyDescent="0.25">
      <c r="A84" s="41">
        <v>300</v>
      </c>
      <c r="B84" s="23" t="s">
        <v>26</v>
      </c>
      <c r="C84" s="51">
        <v>200</v>
      </c>
      <c r="D84" s="19">
        <v>3.52</v>
      </c>
      <c r="E84" s="4">
        <v>0.1</v>
      </c>
      <c r="F84" s="4">
        <v>0</v>
      </c>
      <c r="G84" s="4">
        <v>20.2</v>
      </c>
      <c r="H84" s="4">
        <v>81.2</v>
      </c>
    </row>
    <row r="85" spans="1:12" ht="18" customHeight="1" x14ac:dyDescent="0.25">
      <c r="A85" s="41">
        <v>300</v>
      </c>
      <c r="B85" s="23" t="s">
        <v>26</v>
      </c>
      <c r="C85" s="51">
        <v>200</v>
      </c>
      <c r="D85" s="19">
        <v>3.52</v>
      </c>
      <c r="E85" s="4">
        <v>0.1</v>
      </c>
      <c r="F85" s="4">
        <v>0</v>
      </c>
      <c r="G85" s="4">
        <v>20.2</v>
      </c>
      <c r="H85" s="4">
        <v>81.2</v>
      </c>
    </row>
    <row r="86" spans="1:12" ht="18" customHeight="1" x14ac:dyDescent="0.25">
      <c r="A86" s="59">
        <v>300</v>
      </c>
      <c r="B86" s="23" t="s">
        <v>26</v>
      </c>
      <c r="C86" s="51">
        <v>200</v>
      </c>
      <c r="D86" s="19">
        <v>3.52</v>
      </c>
      <c r="E86" s="4">
        <v>0.1</v>
      </c>
      <c r="F86" s="4">
        <v>0</v>
      </c>
      <c r="G86" s="4">
        <v>20.2</v>
      </c>
      <c r="H86" s="4">
        <v>81.2</v>
      </c>
    </row>
    <row r="87" spans="1:12" ht="15.75" x14ac:dyDescent="0.25">
      <c r="A87" s="41">
        <v>300</v>
      </c>
      <c r="B87" s="23" t="s">
        <v>26</v>
      </c>
      <c r="C87" s="51">
        <v>200</v>
      </c>
      <c r="D87" s="19">
        <v>3.52</v>
      </c>
      <c r="E87" s="4">
        <v>0.1</v>
      </c>
      <c r="F87" s="4">
        <v>0</v>
      </c>
      <c r="G87" s="4">
        <v>20.2</v>
      </c>
      <c r="H87" s="4">
        <v>81.2</v>
      </c>
    </row>
    <row r="88" spans="1:12" ht="15.75" x14ac:dyDescent="0.25">
      <c r="A88" s="41">
        <v>300</v>
      </c>
      <c r="B88" s="23" t="s">
        <v>26</v>
      </c>
      <c r="C88" s="51">
        <v>200</v>
      </c>
      <c r="D88" s="37">
        <v>40.299999999999997</v>
      </c>
      <c r="E88" s="15">
        <v>4.41</v>
      </c>
      <c r="F88" s="15">
        <v>2.4750000000000001</v>
      </c>
      <c r="G88" s="15">
        <v>4.1899999999999995</v>
      </c>
      <c r="H88" s="15">
        <v>54.82</v>
      </c>
    </row>
    <row r="89" spans="1:12" ht="15.75" x14ac:dyDescent="0.25">
      <c r="A89" s="59">
        <v>300</v>
      </c>
      <c r="B89" s="23" t="s">
        <v>26</v>
      </c>
      <c r="C89" s="51">
        <v>200</v>
      </c>
      <c r="D89" s="19">
        <v>3.52</v>
      </c>
      <c r="E89" s="4">
        <v>0.1</v>
      </c>
      <c r="F89" s="4">
        <v>0</v>
      </c>
      <c r="G89" s="4">
        <v>13.2</v>
      </c>
      <c r="H89" s="4">
        <v>53.2</v>
      </c>
    </row>
    <row r="90" spans="1:12" ht="15.75" x14ac:dyDescent="0.25">
      <c r="A90" s="41">
        <v>300</v>
      </c>
      <c r="B90" s="23" t="s">
        <v>26</v>
      </c>
      <c r="C90" s="51">
        <v>200</v>
      </c>
      <c r="D90" s="19">
        <v>3.52</v>
      </c>
      <c r="E90" s="4">
        <v>0.1</v>
      </c>
      <c r="F90" s="4">
        <v>0</v>
      </c>
      <c r="G90" s="4">
        <v>20.2</v>
      </c>
      <c r="H90" s="4">
        <v>81.2</v>
      </c>
    </row>
    <row r="91" spans="1:12" ht="15.75" x14ac:dyDescent="0.25">
      <c r="A91" s="41">
        <v>300</v>
      </c>
      <c r="B91" s="23" t="s">
        <v>26</v>
      </c>
      <c r="C91" s="51">
        <v>200</v>
      </c>
      <c r="D91" s="19">
        <v>3.52</v>
      </c>
      <c r="E91" s="4">
        <v>0.1</v>
      </c>
      <c r="F91" s="4">
        <v>0</v>
      </c>
      <c r="G91" s="4">
        <v>20.2</v>
      </c>
      <c r="H91" s="4">
        <v>81.2</v>
      </c>
    </row>
    <row r="92" spans="1:12" ht="15.75" x14ac:dyDescent="0.25">
      <c r="A92" s="41">
        <v>300</v>
      </c>
      <c r="B92" s="23" t="s">
        <v>26</v>
      </c>
      <c r="C92" s="51">
        <v>200</v>
      </c>
      <c r="D92" s="19">
        <v>3.52</v>
      </c>
      <c r="E92" s="4">
        <v>0.1</v>
      </c>
      <c r="F92" s="4">
        <v>0</v>
      </c>
      <c r="G92" s="4">
        <v>20.2</v>
      </c>
      <c r="H92" s="4">
        <v>81.2</v>
      </c>
    </row>
    <row r="93" spans="1:12" ht="15.75" x14ac:dyDescent="0.25">
      <c r="A93" s="59">
        <v>300</v>
      </c>
      <c r="B93" s="23" t="s">
        <v>26</v>
      </c>
      <c r="C93" s="51">
        <v>200</v>
      </c>
      <c r="D93" s="19">
        <v>3.52</v>
      </c>
      <c r="E93" s="4">
        <v>0.1</v>
      </c>
      <c r="F93" s="4">
        <v>0</v>
      </c>
      <c r="G93" s="4">
        <v>20.2</v>
      </c>
      <c r="H93" s="4">
        <v>81.2</v>
      </c>
      <c r="I93" s="11"/>
      <c r="J93" s="11"/>
      <c r="K93" s="11"/>
      <c r="L93" s="11"/>
    </row>
    <row r="94" spans="1:12" ht="15.75" x14ac:dyDescent="0.25">
      <c r="A94" s="41">
        <v>300</v>
      </c>
      <c r="B94" s="23" t="s">
        <v>26</v>
      </c>
      <c r="C94" s="51">
        <v>200</v>
      </c>
      <c r="D94" s="19">
        <v>3.52</v>
      </c>
      <c r="E94" s="4">
        <v>0.1</v>
      </c>
      <c r="F94" s="4">
        <v>0</v>
      </c>
      <c r="G94" s="4">
        <v>20.2</v>
      </c>
      <c r="H94" s="4">
        <v>81.2</v>
      </c>
      <c r="I94" s="11"/>
      <c r="J94" s="11"/>
      <c r="K94" s="11"/>
      <c r="L94" s="11"/>
    </row>
    <row r="95" spans="1:12" ht="15.75" x14ac:dyDescent="0.25">
      <c r="A95" s="59">
        <v>62</v>
      </c>
      <c r="B95" s="1" t="s">
        <v>160</v>
      </c>
      <c r="C95" s="175">
        <v>230</v>
      </c>
      <c r="D95" s="19">
        <f>12.75+3.5</f>
        <v>16.25</v>
      </c>
      <c r="E95" s="14">
        <v>7.0299999999999994</v>
      </c>
      <c r="F95" s="14">
        <v>9.23</v>
      </c>
      <c r="G95" s="14">
        <v>30.8</v>
      </c>
      <c r="H95" s="4">
        <v>231.72</v>
      </c>
    </row>
    <row r="96" spans="1:12" ht="15.75" x14ac:dyDescent="0.25">
      <c r="A96" s="59"/>
      <c r="B96" s="4" t="s">
        <v>120</v>
      </c>
      <c r="C96" s="46">
        <v>50</v>
      </c>
      <c r="D96" s="37">
        <v>20</v>
      </c>
      <c r="E96" s="15">
        <v>5.12</v>
      </c>
      <c r="F96" s="15">
        <v>4.6399999999999997</v>
      </c>
      <c r="G96" s="15">
        <v>0.27999999999999997</v>
      </c>
      <c r="H96" s="15">
        <v>63.48</v>
      </c>
    </row>
    <row r="97" spans="1:12" x14ac:dyDescent="0.2">
      <c r="A97" s="63"/>
      <c r="B97" s="185"/>
      <c r="C97" s="186"/>
      <c r="D97" s="187"/>
      <c r="E97" s="185"/>
      <c r="F97" s="185"/>
      <c r="G97" s="185"/>
      <c r="H97" s="185"/>
    </row>
    <row r="98" spans="1:12" ht="15.75" x14ac:dyDescent="0.2">
      <c r="E98" s="34"/>
      <c r="F98" s="34"/>
      <c r="G98" s="34"/>
      <c r="H98" s="34"/>
      <c r="K98" s="11"/>
      <c r="L98" s="11"/>
    </row>
    <row r="99" spans="1:12" ht="15.75" x14ac:dyDescent="0.2">
      <c r="E99" s="179"/>
      <c r="F99" s="179"/>
      <c r="G99" s="179"/>
      <c r="H99" s="179"/>
      <c r="K99" s="11"/>
      <c r="L99" s="11"/>
    </row>
  </sheetData>
  <sortState ref="A1:L168">
    <sortCondition ref="B1:B16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66"/>
  <sheetViews>
    <sheetView tabSelected="1" workbookViewId="0">
      <selection activeCell="AP153" sqref="AP153"/>
    </sheetView>
  </sheetViews>
  <sheetFormatPr defaultRowHeight="15" x14ac:dyDescent="0.2"/>
  <cols>
    <col min="1" max="1" width="10" style="39" customWidth="1"/>
    <col min="2" max="2" width="57" style="11" customWidth="1"/>
    <col min="3" max="3" width="9.5703125" style="50" customWidth="1"/>
    <col min="4" max="4" width="13.42578125" style="36" customWidth="1"/>
    <col min="5" max="5" width="9.42578125" style="11" customWidth="1"/>
    <col min="6" max="7" width="10.7109375" style="11" customWidth="1"/>
    <col min="8" max="8" width="11.85546875" style="11" customWidth="1"/>
    <col min="9" max="10" width="11.85546875" style="11" hidden="1" customWidth="1"/>
    <col min="11" max="14" width="0" style="180" hidden="1" customWidth="1"/>
    <col min="15" max="40" width="0" style="11" hidden="1" customWidth="1"/>
    <col min="41" max="16384" width="9.140625" style="11"/>
  </cols>
  <sheetData>
    <row r="1" spans="1:14" ht="15" customHeight="1" x14ac:dyDescent="0.2">
      <c r="B1" s="337" t="s">
        <v>48</v>
      </c>
      <c r="C1" s="337"/>
      <c r="D1" s="337"/>
      <c r="E1" s="337"/>
      <c r="F1" s="337"/>
      <c r="G1" s="337"/>
      <c r="H1" s="38"/>
      <c r="I1" s="38"/>
      <c r="J1" s="38"/>
    </row>
    <row r="2" spans="1:14" x14ac:dyDescent="0.2">
      <c r="B2" s="338"/>
      <c r="C2" s="338"/>
      <c r="D2" s="338"/>
      <c r="E2" s="338"/>
      <c r="F2" s="338"/>
      <c r="G2" s="338"/>
    </row>
    <row r="3" spans="1:14" ht="15.75" customHeight="1" x14ac:dyDescent="0.2">
      <c r="A3" s="339" t="s">
        <v>14</v>
      </c>
      <c r="B3" s="342" t="s">
        <v>13</v>
      </c>
      <c r="C3" s="345" t="s">
        <v>6</v>
      </c>
      <c r="D3" s="348" t="s">
        <v>27</v>
      </c>
      <c r="E3" s="332" t="s">
        <v>7</v>
      </c>
      <c r="F3" s="332"/>
      <c r="G3" s="349"/>
      <c r="H3" s="351" t="s">
        <v>8</v>
      </c>
      <c r="I3" s="210"/>
      <c r="J3" s="210"/>
    </row>
    <row r="4" spans="1:14" ht="15.75" customHeight="1" x14ac:dyDescent="0.2">
      <c r="A4" s="340"/>
      <c r="B4" s="343"/>
      <c r="C4" s="346"/>
      <c r="D4" s="348"/>
      <c r="E4" s="330"/>
      <c r="F4" s="330"/>
      <c r="G4" s="350"/>
      <c r="H4" s="352"/>
      <c r="I4" s="210"/>
      <c r="J4" s="210"/>
    </row>
    <row r="5" spans="1:14" ht="15" customHeight="1" x14ac:dyDescent="0.2">
      <c r="A5" s="340"/>
      <c r="B5" s="343"/>
      <c r="C5" s="346"/>
      <c r="D5" s="348"/>
      <c r="E5" s="354" t="s">
        <v>2</v>
      </c>
      <c r="F5" s="342" t="s">
        <v>3</v>
      </c>
      <c r="G5" s="342" t="s">
        <v>4</v>
      </c>
      <c r="H5" s="352"/>
      <c r="I5" s="210"/>
      <c r="J5" s="210"/>
    </row>
    <row r="6" spans="1:14" ht="15" customHeight="1" x14ac:dyDescent="0.2">
      <c r="A6" s="340"/>
      <c r="B6" s="343"/>
      <c r="C6" s="346"/>
      <c r="D6" s="348"/>
      <c r="E6" s="355"/>
      <c r="F6" s="343"/>
      <c r="G6" s="343"/>
      <c r="H6" s="352"/>
      <c r="I6" s="210"/>
      <c r="J6" s="210"/>
    </row>
    <row r="7" spans="1:14" ht="33" customHeight="1" x14ac:dyDescent="0.2">
      <c r="A7" s="341"/>
      <c r="B7" s="344"/>
      <c r="C7" s="347"/>
      <c r="D7" s="348"/>
      <c r="E7" s="356"/>
      <c r="F7" s="344"/>
      <c r="G7" s="344"/>
      <c r="H7" s="353"/>
      <c r="I7" s="210"/>
      <c r="J7" s="210"/>
    </row>
    <row r="8" spans="1:14" ht="18.75" customHeight="1" x14ac:dyDescent="0.2">
      <c r="A8" s="331" t="s">
        <v>15</v>
      </c>
      <c r="B8" s="332"/>
      <c r="C8" s="203"/>
      <c r="D8" s="21"/>
      <c r="E8" s="21"/>
      <c r="F8" s="21"/>
      <c r="G8" s="21"/>
      <c r="H8" s="21"/>
      <c r="I8" s="16"/>
      <c r="J8" s="16"/>
    </row>
    <row r="9" spans="1:14" ht="18" customHeight="1" x14ac:dyDescent="0.2">
      <c r="A9" s="336" t="s">
        <v>10</v>
      </c>
      <c r="B9" s="336"/>
      <c r="C9" s="202"/>
      <c r="D9" s="34"/>
      <c r="E9" s="16"/>
      <c r="F9" s="10"/>
      <c r="G9" s="16"/>
      <c r="H9" s="16"/>
      <c r="I9" s="16"/>
      <c r="J9" s="16"/>
    </row>
    <row r="10" spans="1:14" ht="18" customHeight="1" x14ac:dyDescent="0.25">
      <c r="A10" s="41">
        <v>193</v>
      </c>
      <c r="B10" s="25" t="s">
        <v>136</v>
      </c>
      <c r="C10" s="46">
        <v>200</v>
      </c>
      <c r="D10" s="37">
        <f>22.82+1.85</f>
        <v>24.67</v>
      </c>
      <c r="E10" s="15">
        <v>10.821604938271609</v>
      </c>
      <c r="F10" s="15">
        <v>15.104938271604899</v>
      </c>
      <c r="G10" s="15">
        <v>30.346913580246898</v>
      </c>
      <c r="H10" s="15">
        <v>300.52</v>
      </c>
      <c r="I10" s="211"/>
      <c r="J10" s="211"/>
      <c r="K10" s="180">
        <v>10.89</v>
      </c>
      <c r="L10" s="201">
        <f>D10/K10-1</f>
        <v>1.2653810835629016</v>
      </c>
    </row>
    <row r="11" spans="1:14" ht="18" customHeight="1" x14ac:dyDescent="0.25">
      <c r="A11" s="41">
        <v>300</v>
      </c>
      <c r="B11" s="23" t="s">
        <v>26</v>
      </c>
      <c r="C11" s="51">
        <v>200</v>
      </c>
      <c r="D11" s="19">
        <v>4.03</v>
      </c>
      <c r="E11" s="4">
        <v>0.1</v>
      </c>
      <c r="F11" s="4">
        <v>0</v>
      </c>
      <c r="G11" s="4">
        <v>20.2</v>
      </c>
      <c r="H11" s="4">
        <v>81.2</v>
      </c>
      <c r="I11" s="212"/>
      <c r="J11" s="212"/>
      <c r="K11" s="180">
        <v>2.65</v>
      </c>
      <c r="L11" s="201">
        <f t="shared" ref="L11:L36" si="0">D11/K11-1</f>
        <v>0.52075471698113218</v>
      </c>
    </row>
    <row r="12" spans="1:14" ht="18" customHeight="1" x14ac:dyDescent="0.25">
      <c r="A12" s="41" t="s">
        <v>36</v>
      </c>
      <c r="B12" s="23" t="s">
        <v>118</v>
      </c>
      <c r="C12" s="51">
        <v>10</v>
      </c>
      <c r="D12" s="19">
        <v>2.87</v>
      </c>
      <c r="E12" s="19">
        <v>0.36399999999999999</v>
      </c>
      <c r="F12" s="19">
        <v>0.08</v>
      </c>
      <c r="G12" s="19">
        <v>0.32799999999999996</v>
      </c>
      <c r="H12" s="19">
        <v>3.5</v>
      </c>
      <c r="I12" s="213"/>
      <c r="J12" s="213"/>
      <c r="K12" s="180">
        <v>1.79</v>
      </c>
      <c r="L12" s="201">
        <f t="shared" si="0"/>
        <v>0.6033519553072626</v>
      </c>
    </row>
    <row r="13" spans="1:14" ht="18" customHeight="1" x14ac:dyDescent="0.25">
      <c r="A13" s="41" t="s">
        <v>36</v>
      </c>
      <c r="B13" s="13" t="s">
        <v>222</v>
      </c>
      <c r="C13" s="52">
        <v>40</v>
      </c>
      <c r="D13" s="37">
        <f>438/1000*45</f>
        <v>19.71</v>
      </c>
      <c r="E13" s="17">
        <v>1.82</v>
      </c>
      <c r="F13" s="17">
        <v>0.4</v>
      </c>
      <c r="G13" s="17">
        <v>1.64</v>
      </c>
      <c r="H13" s="17">
        <v>17.5</v>
      </c>
      <c r="I13" s="214"/>
      <c r="J13" s="214"/>
      <c r="K13" s="180">
        <f>206.55/1000*45</f>
        <v>9.2947500000000005</v>
      </c>
      <c r="L13" s="201">
        <f t="shared" si="0"/>
        <v>1.1205519244734932</v>
      </c>
    </row>
    <row r="14" spans="1:14" ht="18" customHeight="1" x14ac:dyDescent="0.25">
      <c r="A14" s="44" t="s">
        <v>37</v>
      </c>
      <c r="B14" s="4" t="s">
        <v>193</v>
      </c>
      <c r="C14" s="46">
        <v>50</v>
      </c>
      <c r="D14" s="37">
        <v>27.7</v>
      </c>
      <c r="E14" s="4">
        <v>2.29</v>
      </c>
      <c r="F14" s="4">
        <v>0.21999999999999997</v>
      </c>
      <c r="G14" s="4">
        <v>14.49</v>
      </c>
      <c r="H14" s="4">
        <v>67.28</v>
      </c>
      <c r="I14" s="212"/>
      <c r="J14" s="212"/>
      <c r="K14" s="180">
        <v>14.1</v>
      </c>
      <c r="L14" s="201">
        <f t="shared" si="0"/>
        <v>0.96453900709219864</v>
      </c>
      <c r="M14" s="180">
        <v>24.18</v>
      </c>
      <c r="N14" s="182">
        <f>D14-M14</f>
        <v>3.5199999999999996</v>
      </c>
    </row>
    <row r="15" spans="1:14" s="7" customFormat="1" ht="18" customHeight="1" x14ac:dyDescent="0.25">
      <c r="A15" s="206"/>
      <c r="B15" s="9" t="s">
        <v>20</v>
      </c>
      <c r="C15" s="45">
        <f t="shared" ref="C15:H15" si="1">SUM(C10:C14)</f>
        <v>500</v>
      </c>
      <c r="D15" s="33">
        <f>SUM(D10:D14)</f>
        <v>78.98</v>
      </c>
      <c r="E15" s="33">
        <f t="shared" si="1"/>
        <v>15.39560493827161</v>
      </c>
      <c r="F15" s="33">
        <f t="shared" si="1"/>
        <v>15.8049382716049</v>
      </c>
      <c r="G15" s="33">
        <f t="shared" si="1"/>
        <v>67.004913580246892</v>
      </c>
      <c r="H15" s="33">
        <f t="shared" si="1"/>
        <v>470</v>
      </c>
      <c r="I15" s="34"/>
      <c r="J15" s="34"/>
      <c r="K15" s="181"/>
      <c r="L15" s="201"/>
      <c r="M15" s="181"/>
      <c r="N15" s="181"/>
    </row>
    <row r="16" spans="1:14" ht="18" customHeight="1" x14ac:dyDescent="0.2">
      <c r="A16" s="333" t="s">
        <v>11</v>
      </c>
      <c r="B16" s="334"/>
      <c r="C16" s="49"/>
      <c r="D16" s="34"/>
      <c r="E16" s="179"/>
      <c r="F16" s="179"/>
      <c r="G16" s="179"/>
      <c r="H16" s="179"/>
      <c r="I16" s="179"/>
      <c r="J16" s="179"/>
      <c r="L16" s="201"/>
    </row>
    <row r="17" spans="1:44" ht="18" customHeight="1" x14ac:dyDescent="0.25">
      <c r="A17" s="41">
        <v>55</v>
      </c>
      <c r="B17" s="18" t="s">
        <v>191</v>
      </c>
      <c r="C17" s="58">
        <v>230</v>
      </c>
      <c r="D17" s="35">
        <v>19.77</v>
      </c>
      <c r="E17" s="12">
        <v>8.25</v>
      </c>
      <c r="F17" s="12">
        <v>9.6999999999999993</v>
      </c>
      <c r="G17" s="12">
        <v>31.8</v>
      </c>
      <c r="H17" s="12">
        <v>247.5</v>
      </c>
      <c r="I17" s="215"/>
      <c r="J17" s="215"/>
      <c r="K17" s="180">
        <v>5.94</v>
      </c>
      <c r="L17" s="201">
        <f t="shared" si="0"/>
        <v>2.3282828282828278</v>
      </c>
    </row>
    <row r="18" spans="1:44" ht="18" customHeight="1" x14ac:dyDescent="0.25">
      <c r="A18" s="41">
        <v>136</v>
      </c>
      <c r="B18" s="23" t="s">
        <v>153</v>
      </c>
      <c r="C18" s="52">
        <v>90</v>
      </c>
      <c r="D18" s="37">
        <v>42.97</v>
      </c>
      <c r="E18" s="19">
        <v>5.64</v>
      </c>
      <c r="F18" s="19">
        <v>5.9500000000000011</v>
      </c>
      <c r="G18" s="19">
        <v>13.9</v>
      </c>
      <c r="H18" s="19">
        <v>131.71</v>
      </c>
      <c r="I18" s="213"/>
      <c r="J18" s="213"/>
      <c r="K18" s="180">
        <v>14.89</v>
      </c>
      <c r="L18" s="201">
        <f t="shared" si="0"/>
        <v>1.8858294157152451</v>
      </c>
    </row>
    <row r="19" spans="1:44" ht="18" customHeight="1" x14ac:dyDescent="0.25">
      <c r="A19" s="41">
        <v>227</v>
      </c>
      <c r="B19" s="25" t="s">
        <v>58</v>
      </c>
      <c r="C19" s="27">
        <v>150</v>
      </c>
      <c r="D19" s="19">
        <v>19.25</v>
      </c>
      <c r="E19" s="28">
        <v>7.1253333333333337</v>
      </c>
      <c r="F19" s="28">
        <v>7.69</v>
      </c>
      <c r="G19" s="28">
        <v>24.578000000000003</v>
      </c>
      <c r="H19" s="28">
        <v>193.35000000000002</v>
      </c>
      <c r="I19" s="216"/>
      <c r="J19" s="216"/>
      <c r="K19" s="180">
        <v>3.96</v>
      </c>
      <c r="L19" s="201">
        <f t="shared" si="0"/>
        <v>3.8611111111111107</v>
      </c>
    </row>
    <row r="20" spans="1:44" ht="18" customHeight="1" x14ac:dyDescent="0.25">
      <c r="A20" s="41">
        <v>300</v>
      </c>
      <c r="B20" s="176" t="s">
        <v>220</v>
      </c>
      <c r="C20" s="46">
        <v>200</v>
      </c>
      <c r="D20" s="19">
        <f>13.59-1.48</f>
        <v>12.11</v>
      </c>
      <c r="E20" s="4">
        <v>0.1</v>
      </c>
      <c r="F20" s="4">
        <v>0</v>
      </c>
      <c r="G20" s="4">
        <v>20.2</v>
      </c>
      <c r="H20" s="4">
        <v>81.2</v>
      </c>
      <c r="I20" s="212"/>
      <c r="J20" s="212"/>
      <c r="K20" s="180">
        <v>4.3099999999999996</v>
      </c>
      <c r="L20" s="201">
        <f t="shared" si="0"/>
        <v>1.8097447795823669</v>
      </c>
    </row>
    <row r="21" spans="1:44" ht="18" customHeight="1" x14ac:dyDescent="0.25">
      <c r="A21" s="44" t="s">
        <v>38</v>
      </c>
      <c r="B21" s="4" t="s">
        <v>5</v>
      </c>
      <c r="C21" s="46">
        <v>30</v>
      </c>
      <c r="D21" s="37">
        <v>2.92</v>
      </c>
      <c r="E21" s="2">
        <v>1.98</v>
      </c>
      <c r="F21" s="47">
        <v>0.36</v>
      </c>
      <c r="G21" s="2">
        <v>10.02</v>
      </c>
      <c r="H21" s="2">
        <v>51.24</v>
      </c>
      <c r="I21" s="217"/>
      <c r="J21" s="217"/>
      <c r="K21" s="180">
        <v>1.83</v>
      </c>
      <c r="L21" s="201">
        <f t="shared" si="0"/>
        <v>0.59562841530054644</v>
      </c>
    </row>
    <row r="22" spans="1:44" s="8" customFormat="1" ht="18" customHeight="1" x14ac:dyDescent="0.25">
      <c r="A22" s="43"/>
      <c r="B22" s="9" t="s">
        <v>20</v>
      </c>
      <c r="C22" s="45">
        <f t="shared" ref="C22:H22" si="2">SUM(C17:C21)</f>
        <v>700</v>
      </c>
      <c r="D22" s="33">
        <f>SUM(D17:D21)</f>
        <v>97.02</v>
      </c>
      <c r="E22" s="33">
        <f t="shared" si="2"/>
        <v>23.095333333333336</v>
      </c>
      <c r="F22" s="33">
        <f t="shared" si="2"/>
        <v>23.7</v>
      </c>
      <c r="G22" s="33">
        <f t="shared" si="2"/>
        <v>100.498</v>
      </c>
      <c r="H22" s="33">
        <f t="shared" si="2"/>
        <v>705.00000000000011</v>
      </c>
      <c r="I22" s="34"/>
      <c r="J22" s="34"/>
      <c r="K22" s="180"/>
      <c r="L22" s="201"/>
      <c r="M22" s="180"/>
      <c r="N22" s="180"/>
    </row>
    <row r="23" spans="1:44" s="8" customFormat="1" ht="18" customHeight="1" x14ac:dyDescent="0.25">
      <c r="A23" s="43"/>
      <c r="B23" s="3" t="s">
        <v>9</v>
      </c>
      <c r="C23" s="45"/>
      <c r="D23" s="33">
        <f>D15+D22</f>
        <v>176</v>
      </c>
      <c r="E23" s="33">
        <f>E15+E22</f>
        <v>38.490938271604946</v>
      </c>
      <c r="F23" s="33">
        <f>F15+F22</f>
        <v>39.5049382716049</v>
      </c>
      <c r="G23" s="33">
        <f>G15+G22</f>
        <v>167.50291358024691</v>
      </c>
      <c r="H23" s="33">
        <f>H15+H22</f>
        <v>1175</v>
      </c>
      <c r="I23" s="34">
        <v>176</v>
      </c>
      <c r="J23" s="34">
        <f>D23-I23</f>
        <v>0</v>
      </c>
      <c r="K23" s="180">
        <f>151+25</f>
        <v>176</v>
      </c>
      <c r="L23" s="201">
        <f t="shared" si="0"/>
        <v>0</v>
      </c>
      <c r="M23" s="180"/>
      <c r="N23" s="180"/>
      <c r="Q23" s="239"/>
    </row>
    <row r="24" spans="1:44" ht="18" customHeight="1" x14ac:dyDescent="0.2">
      <c r="A24" s="331" t="s">
        <v>16</v>
      </c>
      <c r="B24" s="332"/>
      <c r="C24" s="203"/>
      <c r="D24" s="21"/>
      <c r="E24" s="34"/>
      <c r="F24" s="34"/>
      <c r="G24" s="34"/>
      <c r="H24" s="34"/>
      <c r="I24" s="34"/>
      <c r="J24" s="34"/>
      <c r="L24" s="201"/>
    </row>
    <row r="25" spans="1:44" ht="18" customHeight="1" x14ac:dyDescent="0.2">
      <c r="A25" s="330" t="s">
        <v>10</v>
      </c>
      <c r="B25" s="330"/>
      <c r="C25" s="204"/>
      <c r="D25" s="34"/>
      <c r="E25" s="179"/>
      <c r="F25" s="179"/>
      <c r="G25" s="179"/>
      <c r="H25" s="179"/>
      <c r="I25" s="179"/>
      <c r="J25" s="179"/>
      <c r="L25" s="201"/>
    </row>
    <row r="26" spans="1:44" s="8" customFormat="1" ht="18" customHeight="1" x14ac:dyDescent="0.25">
      <c r="A26" s="59">
        <v>110</v>
      </c>
      <c r="B26" s="1" t="s">
        <v>223</v>
      </c>
      <c r="C26" s="322">
        <v>90</v>
      </c>
      <c r="D26" s="35">
        <f>48.76+7+2.62</f>
        <v>58.379999999999995</v>
      </c>
      <c r="E26" s="28">
        <f>5.8+1.22</f>
        <v>7.02</v>
      </c>
      <c r="F26" s="28">
        <f>7.81-0.47</f>
        <v>7.34</v>
      </c>
      <c r="G26" s="28">
        <f>7.73-0.63</f>
        <v>7.1000000000000005</v>
      </c>
      <c r="H26" s="28">
        <f>125.31-4.57</f>
        <v>120.74000000000001</v>
      </c>
      <c r="I26" s="218"/>
      <c r="J26" s="218"/>
      <c r="K26" s="180">
        <v>24.27</v>
      </c>
      <c r="L26" s="201">
        <f t="shared" si="0"/>
        <v>1.4054388133498144</v>
      </c>
      <c r="M26" s="180"/>
      <c r="N26" s="180"/>
      <c r="AO26" s="11"/>
      <c r="AP26" s="11"/>
      <c r="AQ26" s="11"/>
      <c r="AR26" s="11"/>
    </row>
    <row r="27" spans="1:44" s="8" customFormat="1" ht="18" customHeight="1" x14ac:dyDescent="0.25">
      <c r="A27" s="41" t="s">
        <v>170</v>
      </c>
      <c r="B27" s="29" t="s">
        <v>171</v>
      </c>
      <c r="C27" s="57">
        <v>150</v>
      </c>
      <c r="D27" s="35">
        <v>13.62</v>
      </c>
      <c r="E27" s="28">
        <v>5.910000000000001</v>
      </c>
      <c r="F27" s="28">
        <v>8.16</v>
      </c>
      <c r="G27" s="28">
        <v>25.21</v>
      </c>
      <c r="H27" s="28">
        <v>197.92</v>
      </c>
      <c r="I27" s="218"/>
      <c r="J27" s="218"/>
      <c r="K27" s="180"/>
      <c r="L27" s="201"/>
      <c r="M27" s="180"/>
      <c r="N27" s="180"/>
    </row>
    <row r="28" spans="1:44" ht="18" customHeight="1" x14ac:dyDescent="0.25">
      <c r="A28" s="41">
        <v>300</v>
      </c>
      <c r="B28" s="23" t="s">
        <v>26</v>
      </c>
      <c r="C28" s="46">
        <v>200</v>
      </c>
      <c r="D28" s="19">
        <v>4.03</v>
      </c>
      <c r="E28" s="4">
        <v>0.1</v>
      </c>
      <c r="F28" s="4">
        <v>0</v>
      </c>
      <c r="G28" s="4">
        <v>20.2</v>
      </c>
      <c r="H28" s="4">
        <v>81.2</v>
      </c>
      <c r="I28" s="212"/>
      <c r="J28" s="212"/>
      <c r="K28" s="180">
        <v>2.65</v>
      </c>
      <c r="L28" s="201">
        <f t="shared" si="0"/>
        <v>0.52075471698113218</v>
      </c>
    </row>
    <row r="29" spans="1:44" ht="18" customHeight="1" x14ac:dyDescent="0.25">
      <c r="A29" s="104" t="s">
        <v>37</v>
      </c>
      <c r="B29" s="4" t="s">
        <v>0</v>
      </c>
      <c r="C29" s="46">
        <v>60</v>
      </c>
      <c r="D29" s="19">
        <v>10.86</v>
      </c>
      <c r="E29" s="4">
        <v>2.37</v>
      </c>
      <c r="F29" s="4">
        <v>0.3</v>
      </c>
      <c r="G29" s="4">
        <v>14.49</v>
      </c>
      <c r="H29" s="4">
        <v>70.14</v>
      </c>
      <c r="I29" s="212"/>
      <c r="J29" s="212"/>
      <c r="K29" s="180">
        <v>6.52</v>
      </c>
      <c r="L29" s="201">
        <f t="shared" si="0"/>
        <v>0.66564417177914104</v>
      </c>
    </row>
    <row r="30" spans="1:44" ht="18" customHeight="1" x14ac:dyDescent="0.25">
      <c r="A30" s="43"/>
      <c r="B30" s="9" t="s">
        <v>20</v>
      </c>
      <c r="C30" s="45">
        <f t="shared" ref="C30:H30" si="3">SUM(C26:C29)</f>
        <v>500</v>
      </c>
      <c r="D30" s="33">
        <f t="shared" si="3"/>
        <v>86.89</v>
      </c>
      <c r="E30" s="33">
        <f t="shared" si="3"/>
        <v>15.399999999999999</v>
      </c>
      <c r="F30" s="33">
        <f t="shared" si="3"/>
        <v>15.8</v>
      </c>
      <c r="G30" s="33">
        <f t="shared" si="3"/>
        <v>67</v>
      </c>
      <c r="H30" s="33">
        <f t="shared" si="3"/>
        <v>469.99999999999994</v>
      </c>
      <c r="I30" s="34"/>
      <c r="J30" s="34"/>
      <c r="L30" s="201"/>
    </row>
    <row r="31" spans="1:44" ht="18" customHeight="1" x14ac:dyDescent="0.2">
      <c r="A31" s="334" t="s">
        <v>11</v>
      </c>
      <c r="B31" s="334"/>
      <c r="C31" s="205"/>
      <c r="D31" s="34"/>
      <c r="E31" s="33"/>
      <c r="F31" s="33"/>
      <c r="G31" s="33"/>
      <c r="H31" s="33"/>
      <c r="I31" s="179"/>
      <c r="J31" s="179"/>
      <c r="L31" s="201"/>
      <c r="AO31" s="237"/>
      <c r="AP31" s="237"/>
      <c r="AQ31" s="237"/>
      <c r="AR31" s="237"/>
    </row>
    <row r="32" spans="1:44" ht="18" customHeight="1" x14ac:dyDescent="0.25">
      <c r="A32" s="41">
        <v>62</v>
      </c>
      <c r="B32" s="1" t="s">
        <v>160</v>
      </c>
      <c r="C32" s="208">
        <v>250</v>
      </c>
      <c r="D32" s="19">
        <f>19.17+1.85+7.65</f>
        <v>28.67</v>
      </c>
      <c r="E32" s="14">
        <f>7.03+0.07</f>
        <v>7.1000000000000005</v>
      </c>
      <c r="F32" s="14">
        <f>9.23+0.69</f>
        <v>9.92</v>
      </c>
      <c r="G32" s="14">
        <f>30.8-8.86</f>
        <v>21.94</v>
      </c>
      <c r="H32" s="4">
        <f>231.72-29.97</f>
        <v>201.75</v>
      </c>
      <c r="I32" s="212"/>
      <c r="J32" s="212"/>
      <c r="K32" s="180">
        <v>10.52</v>
      </c>
      <c r="L32" s="201">
        <f t="shared" si="0"/>
        <v>1.7252851711026618</v>
      </c>
    </row>
    <row r="33" spans="1:42" ht="18" customHeight="1" x14ac:dyDescent="0.25">
      <c r="A33" s="100">
        <v>107</v>
      </c>
      <c r="B33" s="1" t="s">
        <v>81</v>
      </c>
      <c r="C33" s="208">
        <v>100</v>
      </c>
      <c r="D33" s="19">
        <v>36.629999999999995</v>
      </c>
      <c r="E33" s="14">
        <v>7.39</v>
      </c>
      <c r="F33" s="14">
        <v>7.5499999999999989</v>
      </c>
      <c r="G33" s="14">
        <v>18</v>
      </c>
      <c r="H33" s="14">
        <v>170.01</v>
      </c>
      <c r="I33" s="219"/>
      <c r="J33" s="219"/>
      <c r="K33" s="180">
        <v>22.33</v>
      </c>
      <c r="L33" s="201">
        <f t="shared" si="0"/>
        <v>0.64039408866995062</v>
      </c>
    </row>
    <row r="34" spans="1:42" ht="18" customHeight="1" x14ac:dyDescent="0.25">
      <c r="A34" s="41">
        <v>227</v>
      </c>
      <c r="B34" s="29" t="s">
        <v>34</v>
      </c>
      <c r="C34" s="57">
        <v>150</v>
      </c>
      <c r="D34" s="35">
        <v>16.86</v>
      </c>
      <c r="E34" s="28">
        <v>6.6666666666666696</v>
      </c>
      <c r="F34" s="28">
        <v>5.8666666666666671</v>
      </c>
      <c r="G34" s="28">
        <v>30.3333333333333</v>
      </c>
      <c r="H34" s="28">
        <v>200.8</v>
      </c>
      <c r="I34" s="216"/>
      <c r="J34" s="216"/>
      <c r="K34" s="180">
        <v>7.86</v>
      </c>
      <c r="L34" s="201">
        <f t="shared" si="0"/>
        <v>1.1450381679389312</v>
      </c>
    </row>
    <row r="35" spans="1:42" s="8" customFormat="1" ht="18" customHeight="1" x14ac:dyDescent="0.25">
      <c r="A35" s="41">
        <v>300</v>
      </c>
      <c r="B35" s="23" t="s">
        <v>26</v>
      </c>
      <c r="C35" s="51">
        <v>200</v>
      </c>
      <c r="D35" s="19">
        <v>4.03</v>
      </c>
      <c r="E35" s="4">
        <v>0.1</v>
      </c>
      <c r="F35" s="4">
        <v>0</v>
      </c>
      <c r="G35" s="4">
        <v>20.2</v>
      </c>
      <c r="H35" s="4">
        <v>81.2</v>
      </c>
      <c r="I35" s="212"/>
      <c r="J35" s="212"/>
      <c r="K35" s="180">
        <v>2.65</v>
      </c>
      <c r="L35" s="201">
        <f t="shared" si="0"/>
        <v>0.52075471698113218</v>
      </c>
      <c r="M35" s="180"/>
      <c r="N35" s="180"/>
    </row>
    <row r="36" spans="1:42" s="8" customFormat="1" ht="18" customHeight="1" x14ac:dyDescent="0.25">
      <c r="A36" s="44" t="s">
        <v>38</v>
      </c>
      <c r="B36" s="4" t="s">
        <v>5</v>
      </c>
      <c r="C36" s="46">
        <v>30</v>
      </c>
      <c r="D36" s="37">
        <v>2.92</v>
      </c>
      <c r="E36" s="2">
        <v>1.98</v>
      </c>
      <c r="F36" s="47">
        <v>0.36</v>
      </c>
      <c r="G36" s="2">
        <v>10.02</v>
      </c>
      <c r="H36" s="2">
        <v>51.24</v>
      </c>
      <c r="I36" s="217"/>
      <c r="J36" s="217"/>
      <c r="K36" s="180">
        <v>1.83</v>
      </c>
      <c r="L36" s="201">
        <f t="shared" si="0"/>
        <v>0.59562841530054644</v>
      </c>
      <c r="M36" s="180"/>
      <c r="N36" s="180"/>
    </row>
    <row r="37" spans="1:42" ht="18" customHeight="1" x14ac:dyDescent="0.25">
      <c r="A37" s="43"/>
      <c r="B37" s="9" t="s">
        <v>20</v>
      </c>
      <c r="C37" s="45">
        <f t="shared" ref="C37:H37" si="4">SUM(C32:C36)</f>
        <v>730</v>
      </c>
      <c r="D37" s="33">
        <f>SUM(D32:D36)</f>
        <v>89.11</v>
      </c>
      <c r="E37" s="326">
        <f t="shared" si="4"/>
        <v>23.236666666666672</v>
      </c>
      <c r="F37" s="326">
        <f t="shared" si="4"/>
        <v>23.696666666666665</v>
      </c>
      <c r="G37" s="326">
        <f t="shared" si="4"/>
        <v>100.4933333333333</v>
      </c>
      <c r="H37" s="326">
        <f t="shared" si="4"/>
        <v>705</v>
      </c>
      <c r="I37" s="34"/>
      <c r="J37" s="34"/>
    </row>
    <row r="38" spans="1:42" ht="30" customHeight="1" x14ac:dyDescent="0.25">
      <c r="A38" s="43"/>
      <c r="B38" s="3" t="s">
        <v>9</v>
      </c>
      <c r="C38" s="45"/>
      <c r="D38" s="328">
        <f>D30+D37</f>
        <v>176</v>
      </c>
      <c r="E38" s="33">
        <f>E30+E37</f>
        <v>38.63666666666667</v>
      </c>
      <c r="F38" s="33">
        <f>F30+F37</f>
        <v>39.49666666666667</v>
      </c>
      <c r="G38" s="33">
        <f>G30+G37</f>
        <v>167.49333333333328</v>
      </c>
      <c r="H38" s="33">
        <f>H30+H37</f>
        <v>1175</v>
      </c>
      <c r="I38" s="34">
        <v>176</v>
      </c>
      <c r="J38" s="34">
        <f>D38-I38</f>
        <v>0</v>
      </c>
      <c r="Q38" s="237"/>
      <c r="AP38" s="237"/>
    </row>
    <row r="39" spans="1:42" ht="15.75" x14ac:dyDescent="0.2">
      <c r="A39" s="332" t="s">
        <v>17</v>
      </c>
      <c r="B39" s="332"/>
      <c r="C39" s="203"/>
      <c r="D39" s="21"/>
      <c r="E39" s="34"/>
      <c r="F39" s="34"/>
      <c r="G39" s="34"/>
      <c r="H39" s="34"/>
      <c r="I39" s="34"/>
      <c r="J39" s="34"/>
    </row>
    <row r="40" spans="1:42" ht="15.75" x14ac:dyDescent="0.2">
      <c r="A40" s="330" t="s">
        <v>12</v>
      </c>
      <c r="B40" s="330"/>
      <c r="C40" s="204"/>
      <c r="D40" s="34"/>
      <c r="E40" s="179"/>
      <c r="F40" s="179"/>
      <c r="G40" s="179"/>
      <c r="H40" s="179"/>
      <c r="I40" s="179">
        <f t="shared" ref="I40:AN40" si="5">I37-I39</f>
        <v>0</v>
      </c>
      <c r="J40" s="179">
        <f t="shared" si="5"/>
        <v>0</v>
      </c>
      <c r="K40" s="179">
        <f t="shared" si="5"/>
        <v>0</v>
      </c>
      <c r="L40" s="179">
        <f t="shared" si="5"/>
        <v>0</v>
      </c>
      <c r="M40" s="179">
        <f t="shared" si="5"/>
        <v>0</v>
      </c>
      <c r="N40" s="179">
        <f t="shared" si="5"/>
        <v>0</v>
      </c>
      <c r="O40" s="179">
        <f t="shared" si="5"/>
        <v>0</v>
      </c>
      <c r="P40" s="179">
        <f t="shared" si="5"/>
        <v>0</v>
      </c>
      <c r="Q40" s="179">
        <f t="shared" si="5"/>
        <v>0</v>
      </c>
      <c r="R40" s="179">
        <f t="shared" si="5"/>
        <v>0</v>
      </c>
      <c r="S40" s="179">
        <f t="shared" si="5"/>
        <v>0</v>
      </c>
      <c r="T40" s="179">
        <f t="shared" si="5"/>
        <v>0</v>
      </c>
      <c r="U40" s="179">
        <f t="shared" si="5"/>
        <v>0</v>
      </c>
      <c r="V40" s="179">
        <f t="shared" si="5"/>
        <v>0</v>
      </c>
      <c r="W40" s="179">
        <f t="shared" si="5"/>
        <v>0</v>
      </c>
      <c r="X40" s="179">
        <f t="shared" si="5"/>
        <v>0</v>
      </c>
      <c r="Y40" s="179">
        <f t="shared" si="5"/>
        <v>0</v>
      </c>
      <c r="Z40" s="179">
        <f t="shared" si="5"/>
        <v>0</v>
      </c>
      <c r="AA40" s="179">
        <f t="shared" si="5"/>
        <v>0</v>
      </c>
      <c r="AB40" s="179">
        <f t="shared" si="5"/>
        <v>0</v>
      </c>
      <c r="AC40" s="179">
        <f t="shared" si="5"/>
        <v>0</v>
      </c>
      <c r="AD40" s="179">
        <f t="shared" si="5"/>
        <v>0</v>
      </c>
      <c r="AE40" s="179">
        <f t="shared" si="5"/>
        <v>0</v>
      </c>
      <c r="AF40" s="179">
        <f t="shared" si="5"/>
        <v>0</v>
      </c>
      <c r="AG40" s="179">
        <f t="shared" si="5"/>
        <v>0</v>
      </c>
      <c r="AH40" s="179">
        <f t="shared" si="5"/>
        <v>0</v>
      </c>
      <c r="AI40" s="179">
        <f t="shared" si="5"/>
        <v>0</v>
      </c>
      <c r="AJ40" s="179">
        <f t="shared" si="5"/>
        <v>0</v>
      </c>
      <c r="AK40" s="179">
        <f t="shared" si="5"/>
        <v>0</v>
      </c>
      <c r="AL40" s="179">
        <f t="shared" si="5"/>
        <v>0</v>
      </c>
      <c r="AM40" s="179">
        <f t="shared" si="5"/>
        <v>0</v>
      </c>
      <c r="AN40" s="179">
        <f t="shared" si="5"/>
        <v>0</v>
      </c>
    </row>
    <row r="41" spans="1:42" ht="18" customHeight="1" x14ac:dyDescent="0.25">
      <c r="A41" s="41">
        <v>208</v>
      </c>
      <c r="B41" s="4" t="s">
        <v>130</v>
      </c>
      <c r="C41" s="46">
        <v>140</v>
      </c>
      <c r="D41" s="37">
        <f>39.68+0.04</f>
        <v>39.72</v>
      </c>
      <c r="E41" s="15">
        <f>8.27160493827161+2.8+0.07</f>
        <v>11.141604938271609</v>
      </c>
      <c r="F41" s="15">
        <f>12.7449382716049+2.36+0.02</f>
        <v>15.124938271604899</v>
      </c>
      <c r="G41" s="15">
        <f>40.2469135802469-12.01+0.07</f>
        <v>28.306913580246899</v>
      </c>
      <c r="H41" s="15">
        <f>308.777777777778-18.78+0.7</f>
        <v>290.69777777777796</v>
      </c>
      <c r="I41" s="211"/>
      <c r="J41" s="211"/>
      <c r="K41" s="180">
        <v>15.99</v>
      </c>
      <c r="L41" s="201">
        <f t="shared" ref="L41:L45" si="6">D41/K41-1</f>
        <v>1.4840525328330205</v>
      </c>
    </row>
    <row r="42" spans="1:42" ht="18" customHeight="1" x14ac:dyDescent="0.25">
      <c r="A42" s="41">
        <v>300</v>
      </c>
      <c r="B42" s="23" t="s">
        <v>26</v>
      </c>
      <c r="C42" s="51">
        <v>200</v>
      </c>
      <c r="D42" s="19">
        <v>4.03</v>
      </c>
      <c r="E42" s="4">
        <v>0.1</v>
      </c>
      <c r="F42" s="4">
        <v>0</v>
      </c>
      <c r="G42" s="4">
        <v>20.2</v>
      </c>
      <c r="H42" s="4">
        <v>81.2</v>
      </c>
      <c r="I42" s="212"/>
      <c r="J42" s="212"/>
      <c r="K42" s="180">
        <v>2.65</v>
      </c>
      <c r="L42" s="201">
        <f t="shared" si="6"/>
        <v>0.52075471698113218</v>
      </c>
    </row>
    <row r="43" spans="1:42" ht="18" customHeight="1" x14ac:dyDescent="0.25">
      <c r="A43" s="41" t="s">
        <v>36</v>
      </c>
      <c r="B43" s="23" t="s">
        <v>118</v>
      </c>
      <c r="C43" s="51">
        <v>10</v>
      </c>
      <c r="D43" s="19">
        <v>2.87</v>
      </c>
      <c r="E43" s="19">
        <v>0.36399999999999999</v>
      </c>
      <c r="F43" s="19">
        <v>0.08</v>
      </c>
      <c r="G43" s="19">
        <v>0.32799999999999996</v>
      </c>
      <c r="H43" s="19">
        <v>3.5</v>
      </c>
      <c r="I43" s="213"/>
      <c r="J43" s="213"/>
      <c r="K43" s="180">
        <v>1.79</v>
      </c>
      <c r="L43" s="201">
        <f t="shared" si="6"/>
        <v>0.6033519553072626</v>
      </c>
    </row>
    <row r="44" spans="1:42" ht="18" customHeight="1" x14ac:dyDescent="0.25">
      <c r="A44" s="41" t="s">
        <v>36</v>
      </c>
      <c r="B44" s="13" t="s">
        <v>33</v>
      </c>
      <c r="C44" s="52">
        <v>50</v>
      </c>
      <c r="D44" s="37">
        <v>10</v>
      </c>
      <c r="E44" s="17">
        <v>2.1840000000000002</v>
      </c>
      <c r="F44" s="17">
        <v>0.48</v>
      </c>
      <c r="G44" s="17">
        <v>1.9679999999999997</v>
      </c>
      <c r="H44" s="17">
        <v>21</v>
      </c>
      <c r="I44" s="214"/>
      <c r="J44" s="214"/>
      <c r="K44" s="180">
        <f>D44/1.6</f>
        <v>6.25</v>
      </c>
      <c r="L44" s="201">
        <f t="shared" si="6"/>
        <v>0.60000000000000009</v>
      </c>
    </row>
    <row r="45" spans="1:42" ht="18" customHeight="1" x14ac:dyDescent="0.25">
      <c r="A45" s="41" t="s">
        <v>36</v>
      </c>
      <c r="B45" s="4" t="s">
        <v>161</v>
      </c>
      <c r="C45" s="46">
        <v>100</v>
      </c>
      <c r="D45" s="37">
        <v>40</v>
      </c>
      <c r="E45" s="15">
        <v>1.61</v>
      </c>
      <c r="F45" s="15">
        <v>0.115</v>
      </c>
      <c r="G45" s="15">
        <v>16.2</v>
      </c>
      <c r="H45" s="15">
        <v>73.599999999999994</v>
      </c>
      <c r="I45" s="211"/>
      <c r="J45" s="211"/>
      <c r="K45" s="180">
        <v>18.5</v>
      </c>
      <c r="L45" s="201">
        <f t="shared" si="6"/>
        <v>1.1621621621621623</v>
      </c>
    </row>
    <row r="46" spans="1:42" ht="18" customHeight="1" x14ac:dyDescent="0.25">
      <c r="A46" s="206"/>
      <c r="B46" s="9" t="s">
        <v>20</v>
      </c>
      <c r="C46" s="45">
        <f t="shared" ref="C46:H46" si="7">SUM(C41:C45)</f>
        <v>500</v>
      </c>
      <c r="D46" s="33">
        <f>SUM(D41:D45)</f>
        <v>96.62</v>
      </c>
      <c r="E46" s="33">
        <f t="shared" si="7"/>
        <v>15.399604938271608</v>
      </c>
      <c r="F46" s="33">
        <f t="shared" si="7"/>
        <v>15.799938271604899</v>
      </c>
      <c r="G46" s="33">
        <f t="shared" si="7"/>
        <v>67.002913580246897</v>
      </c>
      <c r="H46" s="33">
        <f t="shared" si="7"/>
        <v>469.99777777777797</v>
      </c>
      <c r="I46" s="34"/>
      <c r="J46" s="34"/>
    </row>
    <row r="47" spans="1:42" ht="18" customHeight="1" x14ac:dyDescent="0.2">
      <c r="A47" s="333" t="s">
        <v>11</v>
      </c>
      <c r="B47" s="334"/>
      <c r="C47" s="49"/>
      <c r="D47" s="34"/>
      <c r="E47" s="179"/>
      <c r="F47" s="179"/>
      <c r="G47" s="179"/>
      <c r="H47" s="179"/>
      <c r="I47" s="179"/>
      <c r="J47" s="179"/>
      <c r="K47" s="182"/>
      <c r="L47" s="182"/>
      <c r="M47" s="182"/>
      <c r="N47" s="182"/>
      <c r="W47" s="237">
        <f>E46-E47</f>
        <v>15.399604938271608</v>
      </c>
      <c r="X47" s="237">
        <f t="shared" ref="X47:Z47" si="8">F46-F47</f>
        <v>15.799938271604899</v>
      </c>
      <c r="Y47" s="237">
        <f t="shared" si="8"/>
        <v>67.002913580246897</v>
      </c>
      <c r="Z47" s="237">
        <f t="shared" si="8"/>
        <v>469.99777777777797</v>
      </c>
    </row>
    <row r="48" spans="1:42" ht="18" customHeight="1" x14ac:dyDescent="0.25">
      <c r="A48" s="41">
        <v>55</v>
      </c>
      <c r="B48" s="13" t="s">
        <v>155</v>
      </c>
      <c r="C48" s="52">
        <v>230</v>
      </c>
      <c r="D48" s="37">
        <f>11.67+3.7</f>
        <v>15.370000000000001</v>
      </c>
      <c r="E48" s="13">
        <v>8.870000000000001</v>
      </c>
      <c r="F48" s="13">
        <v>9.4</v>
      </c>
      <c r="G48" s="13">
        <v>32.799999999999997</v>
      </c>
      <c r="H48" s="13">
        <v>251.28</v>
      </c>
      <c r="I48" s="220"/>
      <c r="J48" s="220"/>
      <c r="K48" s="180">
        <f>7.05/250*230</f>
        <v>6.4859999999999998</v>
      </c>
      <c r="L48" s="201">
        <f t="shared" ref="L48:L52" si="9">D48/K48-1</f>
        <v>1.3697193956213387</v>
      </c>
    </row>
    <row r="49" spans="1:26" ht="18" customHeight="1" x14ac:dyDescent="0.25">
      <c r="A49" s="41">
        <v>158</v>
      </c>
      <c r="B49" s="23" t="s">
        <v>162</v>
      </c>
      <c r="C49" s="52">
        <v>220</v>
      </c>
      <c r="D49" s="37">
        <v>52</v>
      </c>
      <c r="E49" s="13">
        <v>10.35</v>
      </c>
      <c r="F49" s="17">
        <v>13.643333333333333</v>
      </c>
      <c r="G49" s="17">
        <v>31.78</v>
      </c>
      <c r="H49" s="87">
        <v>282.28000000000003</v>
      </c>
      <c r="I49" s="221"/>
      <c r="J49" s="221"/>
      <c r="K49" s="180">
        <v>21.077999999999999</v>
      </c>
      <c r="L49" s="201">
        <f t="shared" si="9"/>
        <v>1.4670272321852167</v>
      </c>
    </row>
    <row r="50" spans="1:26" s="8" customFormat="1" ht="18" customHeight="1" x14ac:dyDescent="0.25">
      <c r="A50" s="44" t="s">
        <v>36</v>
      </c>
      <c r="B50" s="23" t="s">
        <v>199</v>
      </c>
      <c r="C50" s="53">
        <v>10</v>
      </c>
      <c r="D50" s="19">
        <v>4.09</v>
      </c>
      <c r="E50" s="61">
        <v>1.7999999999999998</v>
      </c>
      <c r="F50" s="61">
        <v>0.3</v>
      </c>
      <c r="G50" s="61">
        <v>5.7</v>
      </c>
      <c r="H50" s="61">
        <v>39</v>
      </c>
      <c r="I50" s="222"/>
      <c r="J50" s="222"/>
      <c r="K50" s="180">
        <v>1.86</v>
      </c>
      <c r="L50" s="201">
        <f t="shared" si="9"/>
        <v>1.1989247311827955</v>
      </c>
      <c r="M50" s="180"/>
      <c r="N50" s="180"/>
    </row>
    <row r="51" spans="1:26" s="8" customFormat="1" ht="18" customHeight="1" x14ac:dyDescent="0.25">
      <c r="A51" s="41">
        <v>300</v>
      </c>
      <c r="B51" s="23" t="s">
        <v>26</v>
      </c>
      <c r="C51" s="51">
        <v>200</v>
      </c>
      <c r="D51" s="19">
        <v>4.03</v>
      </c>
      <c r="E51" s="4">
        <v>0.1</v>
      </c>
      <c r="F51" s="4">
        <v>0</v>
      </c>
      <c r="G51" s="4">
        <v>20.2</v>
      </c>
      <c r="H51" s="4">
        <v>81.2</v>
      </c>
      <c r="I51" s="212"/>
      <c r="J51" s="212"/>
      <c r="K51" s="180">
        <v>2.65</v>
      </c>
      <c r="L51" s="201">
        <f t="shared" si="9"/>
        <v>0.52075471698113218</v>
      </c>
      <c r="M51" s="180"/>
      <c r="N51" s="180"/>
    </row>
    <row r="52" spans="1:26" ht="18" customHeight="1" x14ac:dyDescent="0.25">
      <c r="A52" s="44" t="s">
        <v>38</v>
      </c>
      <c r="B52" s="4" t="s">
        <v>5</v>
      </c>
      <c r="C52" s="46">
        <v>40</v>
      </c>
      <c r="D52" s="37">
        <v>3.89</v>
      </c>
      <c r="E52" s="2">
        <v>1.98</v>
      </c>
      <c r="F52" s="47">
        <v>0.36</v>
      </c>
      <c r="G52" s="2">
        <v>10.02</v>
      </c>
      <c r="H52" s="2">
        <v>51.24</v>
      </c>
      <c r="I52" s="217"/>
      <c r="J52" s="217"/>
      <c r="K52" s="180">
        <f>K36/30*40</f>
        <v>2.4400000000000004</v>
      </c>
      <c r="L52" s="201">
        <f t="shared" si="9"/>
        <v>0.59426229508196693</v>
      </c>
    </row>
    <row r="53" spans="1:26" ht="18" customHeight="1" x14ac:dyDescent="0.25">
      <c r="A53" s="43"/>
      <c r="B53" s="9" t="s">
        <v>20</v>
      </c>
      <c r="C53" s="45">
        <f t="shared" ref="C53:H53" si="10">SUM(C48:C52)</f>
        <v>700</v>
      </c>
      <c r="D53" s="33">
        <f>SUM(D48:D52)</f>
        <v>79.38000000000001</v>
      </c>
      <c r="E53" s="33">
        <f t="shared" si="10"/>
        <v>23.1</v>
      </c>
      <c r="F53" s="33">
        <f t="shared" si="10"/>
        <v>23.703333333333333</v>
      </c>
      <c r="G53" s="33">
        <f t="shared" si="10"/>
        <v>100.5</v>
      </c>
      <c r="H53" s="33">
        <f t="shared" si="10"/>
        <v>705.00000000000011</v>
      </c>
      <c r="I53" s="34"/>
      <c r="J53" s="34"/>
    </row>
    <row r="54" spans="1:26" ht="18" customHeight="1" x14ac:dyDescent="0.25">
      <c r="A54" s="43"/>
      <c r="B54" s="3" t="s">
        <v>9</v>
      </c>
      <c r="C54" s="45"/>
      <c r="D54" s="33">
        <f>D46+D53</f>
        <v>176</v>
      </c>
      <c r="E54" s="65">
        <f>E46+E53</f>
        <v>38.499604938271609</v>
      </c>
      <c r="F54" s="65">
        <f>F46+F53</f>
        <v>39.503271604938234</v>
      </c>
      <c r="G54" s="65">
        <f>G46+G53</f>
        <v>167.50291358024691</v>
      </c>
      <c r="H54" s="65">
        <f>H46+H53</f>
        <v>1174.9977777777781</v>
      </c>
      <c r="I54" s="223">
        <v>176</v>
      </c>
      <c r="J54" s="227">
        <f>D54-I54</f>
        <v>0</v>
      </c>
      <c r="Q54" s="237"/>
    </row>
    <row r="55" spans="1:26" ht="18" customHeight="1" x14ac:dyDescent="0.2">
      <c r="A55" s="331" t="s">
        <v>18</v>
      </c>
      <c r="B55" s="332"/>
      <c r="C55" s="203"/>
      <c r="D55" s="21"/>
      <c r="E55" s="34"/>
      <c r="F55" s="34"/>
      <c r="G55" s="34"/>
      <c r="H55" s="34"/>
      <c r="I55" s="34"/>
      <c r="J55" s="34"/>
    </row>
    <row r="56" spans="1:26" ht="18" customHeight="1" x14ac:dyDescent="0.2">
      <c r="A56" s="330" t="s">
        <v>12</v>
      </c>
      <c r="B56" s="330"/>
      <c r="C56" s="204"/>
      <c r="D56" s="34"/>
      <c r="E56" s="10"/>
      <c r="F56" s="10"/>
      <c r="G56" s="10"/>
      <c r="H56" s="10"/>
      <c r="I56" s="10"/>
      <c r="J56" s="10"/>
    </row>
    <row r="57" spans="1:26" ht="18" customHeight="1" x14ac:dyDescent="0.25">
      <c r="A57" s="41">
        <v>234</v>
      </c>
      <c r="B57" s="2" t="s">
        <v>23</v>
      </c>
      <c r="C57" s="51">
        <v>100</v>
      </c>
      <c r="D57" s="19">
        <f>50.55-6.99</f>
        <v>43.559999999999995</v>
      </c>
      <c r="E57" s="28">
        <v>4.22</v>
      </c>
      <c r="F57" s="28">
        <v>12.93</v>
      </c>
      <c r="G57" s="28">
        <v>8</v>
      </c>
      <c r="H57" s="28">
        <v>152.32</v>
      </c>
      <c r="I57" s="216"/>
      <c r="J57" s="216"/>
      <c r="K57" s="180">
        <v>25.48</v>
      </c>
      <c r="L57" s="201">
        <f t="shared" ref="L57:L62" si="11">D57/K57-1</f>
        <v>0.70957613814756648</v>
      </c>
    </row>
    <row r="58" spans="1:26" ht="18" customHeight="1" x14ac:dyDescent="0.25">
      <c r="A58" s="41" t="s">
        <v>39</v>
      </c>
      <c r="B58" s="2" t="s">
        <v>163</v>
      </c>
      <c r="C58" s="51">
        <v>30</v>
      </c>
      <c r="D58" s="19">
        <v>8.18</v>
      </c>
      <c r="E58" s="28">
        <v>3.5999999999999996</v>
      </c>
      <c r="F58" s="28">
        <v>0.6</v>
      </c>
      <c r="G58" s="28">
        <v>11.400000000000002</v>
      </c>
      <c r="H58" s="28">
        <v>78</v>
      </c>
      <c r="I58" s="216"/>
      <c r="J58" s="216"/>
      <c r="L58" s="201"/>
    </row>
    <row r="59" spans="1:26" ht="18" customHeight="1" x14ac:dyDescent="0.25">
      <c r="A59" s="41">
        <v>300</v>
      </c>
      <c r="B59" s="23" t="s">
        <v>26</v>
      </c>
      <c r="C59" s="51">
        <v>200</v>
      </c>
      <c r="D59" s="19">
        <v>4.03</v>
      </c>
      <c r="E59" s="4">
        <v>0.1</v>
      </c>
      <c r="F59" s="4">
        <v>0</v>
      </c>
      <c r="G59" s="4">
        <v>20.2</v>
      </c>
      <c r="H59" s="4">
        <v>81.2</v>
      </c>
      <c r="I59" s="212"/>
      <c r="J59" s="212"/>
      <c r="K59" s="180">
        <v>2.65</v>
      </c>
      <c r="L59" s="201">
        <f t="shared" si="11"/>
        <v>0.52075471698113218</v>
      </c>
    </row>
    <row r="60" spans="1:26" s="8" customFormat="1" ht="18" customHeight="1" x14ac:dyDescent="0.25">
      <c r="A60" s="41" t="s">
        <v>36</v>
      </c>
      <c r="B60" s="23" t="s">
        <v>118</v>
      </c>
      <c r="C60" s="51">
        <v>10</v>
      </c>
      <c r="D60" s="19">
        <v>2.87</v>
      </c>
      <c r="E60" s="19">
        <v>0.36399999999999999</v>
      </c>
      <c r="F60" s="19">
        <v>0.08</v>
      </c>
      <c r="G60" s="19">
        <v>0.32799999999999996</v>
      </c>
      <c r="H60" s="19">
        <v>3.5</v>
      </c>
      <c r="I60" s="213"/>
      <c r="J60" s="213"/>
      <c r="K60" s="180">
        <v>1.79</v>
      </c>
      <c r="L60" s="201">
        <f t="shared" si="11"/>
        <v>0.6033519553072626</v>
      </c>
      <c r="M60" s="180"/>
      <c r="N60" s="180"/>
    </row>
    <row r="61" spans="1:26" ht="18" customHeight="1" x14ac:dyDescent="0.25">
      <c r="A61" s="41">
        <v>286</v>
      </c>
      <c r="B61" s="13" t="s">
        <v>201</v>
      </c>
      <c r="C61" s="52">
        <v>120</v>
      </c>
      <c r="D61" s="37">
        <v>19.71</v>
      </c>
      <c r="E61" s="17">
        <f>1.82+2.93</f>
        <v>4.75</v>
      </c>
      <c r="F61" s="17">
        <f>0.4+1.49</f>
        <v>1.8900000000000001</v>
      </c>
      <c r="G61" s="17">
        <f>1.64+10.94</f>
        <v>12.58</v>
      </c>
      <c r="H61" s="17">
        <f>17.5+67.34</f>
        <v>84.84</v>
      </c>
      <c r="I61" s="212"/>
      <c r="J61" s="212"/>
      <c r="K61" s="180">
        <f>K29/100*75</f>
        <v>4.8899999999999997</v>
      </c>
      <c r="L61" s="201">
        <f t="shared" si="11"/>
        <v>3.0306748466257671</v>
      </c>
    </row>
    <row r="62" spans="1:26" ht="18" customHeight="1" x14ac:dyDescent="0.25">
      <c r="A62" s="104" t="s">
        <v>37</v>
      </c>
      <c r="B62" s="4" t="s">
        <v>0</v>
      </c>
      <c r="C62" s="46">
        <v>40</v>
      </c>
      <c r="D62" s="19">
        <v>7.24</v>
      </c>
      <c r="E62" s="4">
        <v>2.37</v>
      </c>
      <c r="F62" s="4">
        <v>0.3</v>
      </c>
      <c r="G62" s="4">
        <v>14.49</v>
      </c>
      <c r="H62" s="4">
        <v>70.14</v>
      </c>
      <c r="I62" s="212"/>
      <c r="J62" s="212"/>
      <c r="K62" s="180">
        <v>4.4000000000000004</v>
      </c>
      <c r="L62" s="201">
        <f t="shared" si="11"/>
        <v>0.64545454545454528</v>
      </c>
    </row>
    <row r="63" spans="1:26" ht="18" customHeight="1" x14ac:dyDescent="0.25">
      <c r="A63" s="43"/>
      <c r="B63" s="9" t="s">
        <v>20</v>
      </c>
      <c r="C63" s="45">
        <f t="shared" ref="C63:H63" si="12">SUM(C57:C62)</f>
        <v>500</v>
      </c>
      <c r="D63" s="33">
        <f t="shared" si="12"/>
        <v>85.589999999999989</v>
      </c>
      <c r="E63" s="33">
        <f t="shared" si="12"/>
        <v>15.404</v>
      </c>
      <c r="F63" s="33">
        <f t="shared" si="12"/>
        <v>15.8</v>
      </c>
      <c r="G63" s="33">
        <f t="shared" si="12"/>
        <v>66.998000000000005</v>
      </c>
      <c r="H63" s="33">
        <f t="shared" si="12"/>
        <v>470</v>
      </c>
      <c r="I63" s="34"/>
      <c r="J63" s="34"/>
    </row>
    <row r="64" spans="1:26" ht="15.75" x14ac:dyDescent="0.2">
      <c r="A64" s="333" t="s">
        <v>11</v>
      </c>
      <c r="B64" s="334"/>
      <c r="C64" s="49"/>
      <c r="D64" s="34"/>
      <c r="E64" s="179"/>
      <c r="F64" s="179"/>
      <c r="G64" s="179"/>
      <c r="H64" s="179"/>
      <c r="I64" s="179"/>
      <c r="J64" s="179"/>
      <c r="W64" s="237">
        <f>E63-E64</f>
        <v>15.404</v>
      </c>
      <c r="X64" s="237">
        <f t="shared" ref="X64:Z64" si="13">F63-F64</f>
        <v>15.8</v>
      </c>
      <c r="Y64" s="237">
        <f t="shared" si="13"/>
        <v>66.998000000000005</v>
      </c>
      <c r="Z64" s="237">
        <f t="shared" si="13"/>
        <v>470</v>
      </c>
    </row>
    <row r="65" spans="1:45" ht="15.75" x14ac:dyDescent="0.25">
      <c r="A65" s="59">
        <v>65</v>
      </c>
      <c r="B65" s="18" t="s">
        <v>30</v>
      </c>
      <c r="C65" s="51">
        <v>220</v>
      </c>
      <c r="D65" s="37">
        <f>17.59/200*220</f>
        <v>19.349</v>
      </c>
      <c r="E65" s="184">
        <v>6.7160000000000002</v>
      </c>
      <c r="F65" s="184">
        <v>11.178000000000001</v>
      </c>
      <c r="G65" s="184">
        <v>25.576000000000001</v>
      </c>
      <c r="H65" s="12">
        <v>190.44</v>
      </c>
      <c r="I65" s="215"/>
      <c r="J65" s="215"/>
      <c r="K65" s="11">
        <f>9.74/200*220</f>
        <v>10.714</v>
      </c>
      <c r="L65" s="201">
        <f t="shared" ref="L65:L69" si="14">D65/K65-1</f>
        <v>0.80595482546201236</v>
      </c>
    </row>
    <row r="66" spans="1:45" s="8" customFormat="1" ht="18" customHeight="1" x14ac:dyDescent="0.25">
      <c r="A66" s="41">
        <v>110</v>
      </c>
      <c r="B66" s="60" t="s">
        <v>167</v>
      </c>
      <c r="C66" s="208">
        <v>90</v>
      </c>
      <c r="D66" s="35">
        <f>41.22-4.87+1.85</f>
        <v>38.200000000000003</v>
      </c>
      <c r="E66" s="14">
        <f>8.8-1.16</f>
        <v>7.6400000000000006</v>
      </c>
      <c r="F66" s="14">
        <v>6.3</v>
      </c>
      <c r="G66" s="14">
        <v>3.1</v>
      </c>
      <c r="H66" s="14">
        <v>72.680000000000007</v>
      </c>
      <c r="I66" s="219"/>
      <c r="J66" s="219"/>
      <c r="K66" s="180">
        <v>19.64</v>
      </c>
      <c r="L66" s="201">
        <f t="shared" si="14"/>
        <v>0.94501018329938913</v>
      </c>
      <c r="M66" s="180">
        <f>94.94/220*150</f>
        <v>64.73181818181817</v>
      </c>
      <c r="N66" s="180"/>
      <c r="P66" s="93"/>
      <c r="Q66" s="238"/>
    </row>
    <row r="67" spans="1:45" s="8" customFormat="1" ht="18" customHeight="1" x14ac:dyDescent="0.25">
      <c r="A67" s="41">
        <v>227</v>
      </c>
      <c r="B67" s="29" t="s">
        <v>132</v>
      </c>
      <c r="C67" s="57">
        <v>150</v>
      </c>
      <c r="D67" s="35">
        <v>16.86</v>
      </c>
      <c r="E67" s="28">
        <v>6.6666666666666696</v>
      </c>
      <c r="F67" s="28">
        <v>5.8666666666666671</v>
      </c>
      <c r="G67" s="28">
        <v>30.3333333333333</v>
      </c>
      <c r="H67" s="28">
        <v>200.8</v>
      </c>
      <c r="I67" s="214"/>
      <c r="J67" s="214"/>
      <c r="K67" s="180">
        <v>7.86</v>
      </c>
      <c r="L67" s="201">
        <f t="shared" si="14"/>
        <v>1.1450381679389312</v>
      </c>
      <c r="M67" s="180"/>
      <c r="N67" s="180"/>
    </row>
    <row r="68" spans="1:45" ht="18" customHeight="1" x14ac:dyDescent="0.25">
      <c r="A68" s="59">
        <v>300</v>
      </c>
      <c r="B68" s="176" t="s">
        <v>220</v>
      </c>
      <c r="C68" s="46">
        <v>200</v>
      </c>
      <c r="D68" s="19">
        <f>13.59-1.48</f>
        <v>12.11</v>
      </c>
      <c r="E68" s="4">
        <v>0.1</v>
      </c>
      <c r="F68" s="4">
        <v>0</v>
      </c>
      <c r="G68" s="4">
        <v>30.47</v>
      </c>
      <c r="H68" s="4">
        <v>189.84</v>
      </c>
      <c r="I68" s="212"/>
      <c r="J68" s="212"/>
      <c r="K68" s="180">
        <v>4.3099999999999996</v>
      </c>
      <c r="L68" s="201">
        <f t="shared" si="14"/>
        <v>1.8097447795823669</v>
      </c>
    </row>
    <row r="69" spans="1:45" ht="18" customHeight="1" x14ac:dyDescent="0.25">
      <c r="A69" s="44" t="s">
        <v>38</v>
      </c>
      <c r="B69" s="4" t="s">
        <v>5</v>
      </c>
      <c r="C69" s="46">
        <v>40</v>
      </c>
      <c r="D69" s="37">
        <f>2.92/30*40</f>
        <v>3.8933333333333331</v>
      </c>
      <c r="E69" s="2">
        <v>1.98</v>
      </c>
      <c r="F69" s="47">
        <v>0.36</v>
      </c>
      <c r="G69" s="2">
        <v>10.02</v>
      </c>
      <c r="H69" s="2">
        <v>51.24</v>
      </c>
      <c r="I69" s="217"/>
      <c r="J69" s="217"/>
      <c r="K69" s="180">
        <f>1.83/30*40</f>
        <v>2.4400000000000004</v>
      </c>
      <c r="L69" s="201">
        <f t="shared" si="14"/>
        <v>0.595628415300546</v>
      </c>
    </row>
    <row r="70" spans="1:45" ht="18" customHeight="1" x14ac:dyDescent="0.25">
      <c r="A70" s="43"/>
      <c r="B70" s="9" t="s">
        <v>20</v>
      </c>
      <c r="C70" s="45">
        <f>SUM(C65:C69)</f>
        <v>700</v>
      </c>
      <c r="D70" s="33">
        <f>SUM(D65:D69)</f>
        <v>90.412333333333336</v>
      </c>
      <c r="E70" s="33">
        <f>SUM(E65:E69)</f>
        <v>23.102666666666675</v>
      </c>
      <c r="F70" s="33">
        <f t="shared" ref="F70:H70" si="15">SUM(F65:F69)</f>
        <v>23.704666666666668</v>
      </c>
      <c r="G70" s="33">
        <f t="shared" si="15"/>
        <v>99.499333333333297</v>
      </c>
      <c r="H70" s="33">
        <f t="shared" si="15"/>
        <v>705</v>
      </c>
      <c r="I70" s="34"/>
      <c r="J70" s="34"/>
      <c r="L70" s="201"/>
    </row>
    <row r="71" spans="1:45" ht="18" customHeight="1" x14ac:dyDescent="0.25">
      <c r="A71" s="43"/>
      <c r="B71" s="3" t="s">
        <v>9</v>
      </c>
      <c r="C71" s="45"/>
      <c r="D71" s="33">
        <f>D63+D70</f>
        <v>176.00233333333333</v>
      </c>
      <c r="E71" s="33">
        <f>E63+E70</f>
        <v>38.506666666666675</v>
      </c>
      <c r="F71" s="33">
        <f>F63+F70</f>
        <v>39.504666666666665</v>
      </c>
      <c r="G71" s="33">
        <f>G63+G70</f>
        <v>166.4973333333333</v>
      </c>
      <c r="H71" s="33">
        <f>H63+H70</f>
        <v>1175</v>
      </c>
      <c r="I71" s="34">
        <v>176</v>
      </c>
      <c r="J71" s="34">
        <f>D71-I71</f>
        <v>2.3333333333255268E-3</v>
      </c>
      <c r="L71" s="201"/>
      <c r="Q71" s="237"/>
    </row>
    <row r="72" spans="1:45" ht="18" customHeight="1" x14ac:dyDescent="0.2">
      <c r="A72" s="331" t="s">
        <v>19</v>
      </c>
      <c r="B72" s="332"/>
      <c r="C72" s="203"/>
      <c r="D72" s="21"/>
      <c r="E72" s="34"/>
      <c r="F72" s="34"/>
      <c r="G72" s="34"/>
      <c r="H72" s="34"/>
      <c r="I72" s="34"/>
      <c r="J72" s="34"/>
      <c r="L72" s="201"/>
      <c r="AO72" s="237"/>
      <c r="AP72" s="237"/>
      <c r="AQ72" s="237"/>
      <c r="AR72" s="237"/>
      <c r="AS72" s="237"/>
    </row>
    <row r="73" spans="1:45" ht="18" customHeight="1" x14ac:dyDescent="0.2">
      <c r="A73" s="330" t="s">
        <v>12</v>
      </c>
      <c r="B73" s="330"/>
      <c r="C73" s="204"/>
      <c r="D73" s="34"/>
      <c r="E73" s="179"/>
      <c r="F73" s="179"/>
      <c r="G73" s="179"/>
      <c r="H73" s="179"/>
      <c r="I73" s="179"/>
      <c r="J73" s="179"/>
      <c r="L73" s="201"/>
    </row>
    <row r="74" spans="1:45" ht="18" customHeight="1" x14ac:dyDescent="0.25">
      <c r="A74" s="59">
        <v>110</v>
      </c>
      <c r="B74" s="1" t="s">
        <v>186</v>
      </c>
      <c r="C74" s="208">
        <v>90</v>
      </c>
      <c r="D74" s="35">
        <v>48.76</v>
      </c>
      <c r="E74" s="28">
        <v>5.8</v>
      </c>
      <c r="F74" s="28">
        <v>7.8100000000000005</v>
      </c>
      <c r="G74" s="28">
        <v>7.7299999999999969</v>
      </c>
      <c r="H74" s="28">
        <v>125.30999999999999</v>
      </c>
      <c r="I74" s="216"/>
      <c r="J74" s="216"/>
      <c r="K74" s="180">
        <v>20.2</v>
      </c>
      <c r="L74" s="201">
        <f t="shared" ref="L74:L93" si="16">D74/K74-1</f>
        <v>1.4138613861386138</v>
      </c>
    </row>
    <row r="75" spans="1:45" ht="18" customHeight="1" x14ac:dyDescent="0.25">
      <c r="A75" s="59">
        <v>227</v>
      </c>
      <c r="B75" s="1" t="s">
        <v>58</v>
      </c>
      <c r="C75" s="52">
        <v>150</v>
      </c>
      <c r="D75" s="19">
        <v>19.25</v>
      </c>
      <c r="E75" s="28">
        <v>7.1253333333333337</v>
      </c>
      <c r="F75" s="28">
        <v>7.69</v>
      </c>
      <c r="G75" s="28">
        <v>24.578000000000003</v>
      </c>
      <c r="H75" s="28">
        <v>193.35000000000002</v>
      </c>
      <c r="I75" s="216"/>
      <c r="J75" s="216"/>
      <c r="K75" s="180">
        <v>3.96</v>
      </c>
      <c r="L75" s="201">
        <f t="shared" si="16"/>
        <v>3.8611111111111107</v>
      </c>
    </row>
    <row r="76" spans="1:45" ht="18" customHeight="1" x14ac:dyDescent="0.25">
      <c r="A76" s="41">
        <v>300</v>
      </c>
      <c r="B76" s="23" t="s">
        <v>26</v>
      </c>
      <c r="C76" s="51">
        <v>200</v>
      </c>
      <c r="D76" s="19">
        <v>4.03</v>
      </c>
      <c r="E76" s="4">
        <v>0.1</v>
      </c>
      <c r="F76" s="4">
        <v>0</v>
      </c>
      <c r="G76" s="4">
        <v>20.2</v>
      </c>
      <c r="H76" s="4">
        <v>81.2</v>
      </c>
      <c r="I76" s="212"/>
      <c r="J76" s="212"/>
      <c r="K76" s="180">
        <v>2.65</v>
      </c>
      <c r="L76" s="201">
        <f t="shared" si="16"/>
        <v>0.52075471698113218</v>
      </c>
    </row>
    <row r="77" spans="1:45" ht="18" customHeight="1" x14ac:dyDescent="0.25">
      <c r="A77" s="104" t="s">
        <v>37</v>
      </c>
      <c r="B77" s="4" t="s">
        <v>0</v>
      </c>
      <c r="C77" s="46">
        <v>60</v>
      </c>
      <c r="D77" s="19">
        <f>D62/40*60</f>
        <v>10.86</v>
      </c>
      <c r="E77" s="4">
        <v>2.37</v>
      </c>
      <c r="F77" s="4">
        <v>0.3</v>
      </c>
      <c r="G77" s="4">
        <v>14.49</v>
      </c>
      <c r="H77" s="4">
        <v>70.14</v>
      </c>
      <c r="I77" s="212"/>
      <c r="J77" s="212"/>
      <c r="K77" s="180">
        <f>K62/40*60</f>
        <v>6.6000000000000005</v>
      </c>
      <c r="L77" s="201">
        <f t="shared" si="16"/>
        <v>0.64545454545454528</v>
      </c>
    </row>
    <row r="78" spans="1:45" ht="18" customHeight="1" x14ac:dyDescent="0.25">
      <c r="A78" s="43"/>
      <c r="B78" s="9" t="s">
        <v>20</v>
      </c>
      <c r="C78" s="45">
        <f t="shared" ref="C78:H78" si="17">SUM(C74:C77)</f>
        <v>500</v>
      </c>
      <c r="D78" s="33">
        <f>SUM(D74:D77)</f>
        <v>82.899999999999991</v>
      </c>
      <c r="E78" s="33">
        <f t="shared" si="17"/>
        <v>15.395333333333333</v>
      </c>
      <c r="F78" s="33">
        <f t="shared" si="17"/>
        <v>15.8</v>
      </c>
      <c r="G78" s="33">
        <f t="shared" si="17"/>
        <v>66.99799999999999</v>
      </c>
      <c r="H78" s="33">
        <f t="shared" si="17"/>
        <v>470</v>
      </c>
      <c r="I78" s="34"/>
      <c r="J78" s="34"/>
      <c r="L78" s="201"/>
    </row>
    <row r="79" spans="1:45" ht="18" customHeight="1" x14ac:dyDescent="0.2">
      <c r="A79" s="333" t="s">
        <v>11</v>
      </c>
      <c r="B79" s="334"/>
      <c r="C79" s="49"/>
      <c r="D79" s="34"/>
      <c r="E79" s="179"/>
      <c r="F79" s="179"/>
      <c r="G79" s="179"/>
      <c r="H79" s="179"/>
      <c r="I79" s="179"/>
      <c r="J79" s="179"/>
      <c r="L79" s="201"/>
    </row>
    <row r="80" spans="1:45" ht="18" customHeight="1" x14ac:dyDescent="0.25">
      <c r="A80" s="44" t="s">
        <v>39</v>
      </c>
      <c r="B80" s="23" t="s">
        <v>21</v>
      </c>
      <c r="C80" s="53">
        <v>30</v>
      </c>
      <c r="D80" s="19">
        <f>416*0.03</f>
        <v>12.48</v>
      </c>
      <c r="E80" s="61">
        <v>0.6</v>
      </c>
      <c r="F80" s="61">
        <v>0.1</v>
      </c>
      <c r="G80" s="61">
        <v>1.9</v>
      </c>
      <c r="H80" s="61">
        <v>13</v>
      </c>
      <c r="I80" s="222"/>
      <c r="J80" s="222"/>
      <c r="K80" s="180">
        <f>260*0.03</f>
        <v>7.8</v>
      </c>
      <c r="L80" s="201">
        <f t="shared" si="16"/>
        <v>0.60000000000000009</v>
      </c>
    </row>
    <row r="81" spans="1:42" ht="18" customHeight="1" x14ac:dyDescent="0.25">
      <c r="A81" s="100">
        <v>56</v>
      </c>
      <c r="B81" s="1" t="s">
        <v>169</v>
      </c>
      <c r="C81" s="58">
        <v>220</v>
      </c>
      <c r="D81" s="19">
        <v>16.82</v>
      </c>
      <c r="E81" s="24">
        <v>6.4</v>
      </c>
      <c r="F81" s="24">
        <v>8</v>
      </c>
      <c r="G81" s="24">
        <v>30.7</v>
      </c>
      <c r="H81" s="24">
        <v>220.4</v>
      </c>
      <c r="I81" s="215"/>
      <c r="J81" s="215"/>
      <c r="K81" s="180">
        <v>9.74</v>
      </c>
      <c r="L81" s="201">
        <f t="shared" si="16"/>
        <v>0.7268993839835729</v>
      </c>
    </row>
    <row r="82" spans="1:42" s="8" customFormat="1" ht="18" customHeight="1" x14ac:dyDescent="0.25">
      <c r="A82" s="59">
        <v>158</v>
      </c>
      <c r="B82" s="86" t="s">
        <v>138</v>
      </c>
      <c r="C82" s="52">
        <v>90</v>
      </c>
      <c r="D82" s="37">
        <f>26.29+3+1.85+6.57-2.56</f>
        <v>35.15</v>
      </c>
      <c r="E82" s="13">
        <f>7.04+1.07</f>
        <v>8.11</v>
      </c>
      <c r="F82" s="17">
        <f>10.5633333333333-3.48</f>
        <v>7.0833333333333002</v>
      </c>
      <c r="G82" s="17">
        <v>12.470000000000002</v>
      </c>
      <c r="H82" s="87">
        <f>168.32-27.08</f>
        <v>141.24</v>
      </c>
      <c r="I82" s="221"/>
      <c r="J82" s="221"/>
      <c r="K82" s="180">
        <v>13.8</v>
      </c>
      <c r="L82" s="201">
        <f t="shared" si="16"/>
        <v>1.5471014492753623</v>
      </c>
      <c r="M82" s="180"/>
      <c r="N82" s="180"/>
    </row>
    <row r="83" spans="1:42" s="8" customFormat="1" ht="18" customHeight="1" x14ac:dyDescent="0.25">
      <c r="A83" s="41" t="s">
        <v>170</v>
      </c>
      <c r="B83" s="29" t="s">
        <v>171</v>
      </c>
      <c r="C83" s="57">
        <v>150</v>
      </c>
      <c r="D83" s="35">
        <v>13.62</v>
      </c>
      <c r="E83" s="28">
        <v>5.910000000000001</v>
      </c>
      <c r="F83" s="28">
        <v>8.16</v>
      </c>
      <c r="G83" s="28">
        <v>25.21</v>
      </c>
      <c r="H83" s="28">
        <v>197.92</v>
      </c>
      <c r="I83" s="216"/>
      <c r="J83" s="216"/>
      <c r="K83" s="180">
        <v>7.86</v>
      </c>
      <c r="L83" s="201">
        <f t="shared" si="16"/>
        <v>0.73282442748091592</v>
      </c>
      <c r="M83" s="180"/>
      <c r="N83" s="180"/>
    </row>
    <row r="84" spans="1:42" ht="18" customHeight="1" x14ac:dyDescent="0.25">
      <c r="A84" s="59">
        <v>300</v>
      </c>
      <c r="B84" s="176" t="s">
        <v>220</v>
      </c>
      <c r="C84" s="46">
        <v>200</v>
      </c>
      <c r="D84" s="19">
        <f>13.59-1.48</f>
        <v>12.11</v>
      </c>
      <c r="E84" s="4">
        <v>0.1</v>
      </c>
      <c r="F84" s="4">
        <v>0</v>
      </c>
      <c r="G84" s="4">
        <v>20.2</v>
      </c>
      <c r="H84" s="4">
        <v>81.2</v>
      </c>
      <c r="I84" s="212"/>
      <c r="J84" s="212"/>
      <c r="K84" s="180">
        <v>4.3099999999999996</v>
      </c>
      <c r="L84" s="201">
        <f t="shared" si="16"/>
        <v>1.8097447795823669</v>
      </c>
    </row>
    <row r="85" spans="1:42" ht="18" customHeight="1" x14ac:dyDescent="0.25">
      <c r="A85" s="44" t="s">
        <v>38</v>
      </c>
      <c r="B85" s="4" t="s">
        <v>5</v>
      </c>
      <c r="C85" s="46">
        <v>30</v>
      </c>
      <c r="D85" s="37">
        <v>2.92</v>
      </c>
      <c r="E85" s="2">
        <v>1.98</v>
      </c>
      <c r="F85" s="47">
        <v>0.36</v>
      </c>
      <c r="G85" s="2">
        <v>10.02</v>
      </c>
      <c r="H85" s="2">
        <v>51.24</v>
      </c>
      <c r="I85" s="217"/>
      <c r="J85" s="217"/>
      <c r="K85" s="180">
        <v>1.83</v>
      </c>
      <c r="L85" s="201">
        <f t="shared" si="16"/>
        <v>0.59562841530054644</v>
      </c>
    </row>
    <row r="86" spans="1:42" ht="18" customHeight="1" x14ac:dyDescent="0.25">
      <c r="A86" s="41"/>
      <c r="B86" s="9" t="s">
        <v>20</v>
      </c>
      <c r="C86" s="45">
        <f t="shared" ref="C86:H86" si="18">SUM(C80:C85)</f>
        <v>720</v>
      </c>
      <c r="D86" s="326">
        <f>SUM(D80:D85)</f>
        <v>93.100000000000009</v>
      </c>
      <c r="E86" s="326">
        <f t="shared" si="18"/>
        <v>23.1</v>
      </c>
      <c r="F86" s="326">
        <f t="shared" si="18"/>
        <v>23.703333333333298</v>
      </c>
      <c r="G86" s="326">
        <f t="shared" si="18"/>
        <v>100.5</v>
      </c>
      <c r="H86" s="326">
        <f t="shared" si="18"/>
        <v>705</v>
      </c>
      <c r="I86" s="34"/>
      <c r="J86" s="34"/>
      <c r="L86" s="201"/>
    </row>
    <row r="87" spans="1:42" ht="18" customHeight="1" x14ac:dyDescent="0.25">
      <c r="A87" s="43"/>
      <c r="B87" s="3" t="s">
        <v>9</v>
      </c>
      <c r="C87" s="327"/>
      <c r="D87" s="33">
        <f>D78+D86</f>
        <v>176</v>
      </c>
      <c r="E87" s="33">
        <f>E78+E86</f>
        <v>38.495333333333335</v>
      </c>
      <c r="F87" s="33">
        <f>F78+F86</f>
        <v>39.503333333333302</v>
      </c>
      <c r="G87" s="33">
        <f>G78+G86</f>
        <v>167.49799999999999</v>
      </c>
      <c r="H87" s="33">
        <f>H78+H86</f>
        <v>1175</v>
      </c>
      <c r="I87" s="34">
        <v>176</v>
      </c>
      <c r="J87" s="34"/>
      <c r="L87" s="201"/>
      <c r="Q87" s="237"/>
      <c r="AP87" s="237"/>
    </row>
    <row r="88" spans="1:42" ht="18" customHeight="1" x14ac:dyDescent="0.2">
      <c r="A88" s="331" t="s">
        <v>66</v>
      </c>
      <c r="B88" s="332"/>
      <c r="C88" s="203"/>
      <c r="D88" s="16"/>
      <c r="E88" s="34"/>
      <c r="F88" s="34"/>
      <c r="G88" s="34"/>
      <c r="H88" s="34"/>
      <c r="I88" s="34"/>
      <c r="J88" s="34"/>
      <c r="L88" s="201"/>
    </row>
    <row r="89" spans="1:42" ht="18" customHeight="1" x14ac:dyDescent="0.2">
      <c r="A89" s="330" t="s">
        <v>12</v>
      </c>
      <c r="B89" s="330"/>
      <c r="C89" s="204"/>
      <c r="D89" s="34"/>
      <c r="E89" s="179"/>
      <c r="F89" s="179"/>
      <c r="G89" s="179"/>
      <c r="H89" s="179"/>
      <c r="I89" s="179">
        <f t="shared" ref="I89:AN89" si="19">I86-I88</f>
        <v>0</v>
      </c>
      <c r="J89" s="179">
        <f t="shared" si="19"/>
        <v>0</v>
      </c>
      <c r="K89" s="179">
        <f t="shared" si="19"/>
        <v>0</v>
      </c>
      <c r="L89" s="179">
        <f t="shared" si="19"/>
        <v>0</v>
      </c>
      <c r="M89" s="179">
        <f t="shared" si="19"/>
        <v>0</v>
      </c>
      <c r="N89" s="179">
        <f t="shared" si="19"/>
        <v>0</v>
      </c>
      <c r="O89" s="179">
        <f t="shared" si="19"/>
        <v>0</v>
      </c>
      <c r="P89" s="179">
        <f t="shared" si="19"/>
        <v>0</v>
      </c>
      <c r="Q89" s="179">
        <f t="shared" si="19"/>
        <v>0</v>
      </c>
      <c r="R89" s="179">
        <f t="shared" si="19"/>
        <v>0</v>
      </c>
      <c r="S89" s="179">
        <f t="shared" si="19"/>
        <v>0</v>
      </c>
      <c r="T89" s="179">
        <f t="shared" si="19"/>
        <v>0</v>
      </c>
      <c r="U89" s="179">
        <f t="shared" si="19"/>
        <v>0</v>
      </c>
      <c r="V89" s="179">
        <f t="shared" si="19"/>
        <v>0</v>
      </c>
      <c r="W89" s="179">
        <f t="shared" si="19"/>
        <v>0</v>
      </c>
      <c r="X89" s="179">
        <f t="shared" si="19"/>
        <v>0</v>
      </c>
      <c r="Y89" s="179">
        <f t="shared" si="19"/>
        <v>0</v>
      </c>
      <c r="Z89" s="179">
        <f t="shared" si="19"/>
        <v>0</v>
      </c>
      <c r="AA89" s="179">
        <f t="shared" si="19"/>
        <v>0</v>
      </c>
      <c r="AB89" s="179">
        <f t="shared" si="19"/>
        <v>0</v>
      </c>
      <c r="AC89" s="179">
        <f t="shared" si="19"/>
        <v>0</v>
      </c>
      <c r="AD89" s="179">
        <f t="shared" si="19"/>
        <v>0</v>
      </c>
      <c r="AE89" s="179">
        <f t="shared" si="19"/>
        <v>0</v>
      </c>
      <c r="AF89" s="179">
        <f t="shared" si="19"/>
        <v>0</v>
      </c>
      <c r="AG89" s="179">
        <f t="shared" si="19"/>
        <v>0</v>
      </c>
      <c r="AH89" s="179">
        <f t="shared" si="19"/>
        <v>0</v>
      </c>
      <c r="AI89" s="179">
        <f t="shared" si="19"/>
        <v>0</v>
      </c>
      <c r="AJ89" s="179">
        <f t="shared" si="19"/>
        <v>0</v>
      </c>
      <c r="AK89" s="179">
        <f t="shared" si="19"/>
        <v>0</v>
      </c>
      <c r="AL89" s="179">
        <f t="shared" si="19"/>
        <v>0</v>
      </c>
      <c r="AM89" s="179">
        <f t="shared" si="19"/>
        <v>0</v>
      </c>
      <c r="AN89" s="179">
        <f t="shared" si="19"/>
        <v>0</v>
      </c>
    </row>
    <row r="90" spans="1:42" s="8" customFormat="1" ht="18" customHeight="1" x14ac:dyDescent="0.25">
      <c r="A90" s="41">
        <v>208</v>
      </c>
      <c r="B90" s="4" t="s">
        <v>195</v>
      </c>
      <c r="C90" s="46">
        <v>150</v>
      </c>
      <c r="D90" s="37">
        <v>19.88</v>
      </c>
      <c r="E90" s="15">
        <v>11.311604938271611</v>
      </c>
      <c r="F90" s="15">
        <v>15.3849382716049</v>
      </c>
      <c r="G90" s="15">
        <v>16.1069135802469</v>
      </c>
      <c r="H90" s="15">
        <v>245.05777777777803</v>
      </c>
      <c r="I90" s="211"/>
      <c r="J90" s="211"/>
      <c r="K90" s="180">
        <v>9.7100000000000009</v>
      </c>
      <c r="L90" s="201">
        <f t="shared" si="16"/>
        <v>1.0473738414006175</v>
      </c>
      <c r="M90" s="180"/>
      <c r="N90" s="180"/>
    </row>
    <row r="91" spans="1:42" ht="18" customHeight="1" x14ac:dyDescent="0.25">
      <c r="A91" s="41">
        <v>300</v>
      </c>
      <c r="B91" s="23" t="s">
        <v>26</v>
      </c>
      <c r="C91" s="51">
        <v>200</v>
      </c>
      <c r="D91" s="19">
        <v>4.03</v>
      </c>
      <c r="E91" s="4">
        <v>0.1</v>
      </c>
      <c r="F91" s="4">
        <v>0</v>
      </c>
      <c r="G91" s="4">
        <v>20.2</v>
      </c>
      <c r="H91" s="4">
        <v>81.2</v>
      </c>
      <c r="I91" s="212"/>
      <c r="J91" s="212"/>
      <c r="K91" s="180">
        <v>2.65</v>
      </c>
      <c r="L91" s="201">
        <f t="shared" si="16"/>
        <v>0.52075471698113218</v>
      </c>
    </row>
    <row r="92" spans="1:42" ht="15.75" x14ac:dyDescent="0.25">
      <c r="A92" s="41" t="s">
        <v>36</v>
      </c>
      <c r="B92" s="13" t="s">
        <v>161</v>
      </c>
      <c r="C92" s="46">
        <v>100</v>
      </c>
      <c r="D92" s="37">
        <v>40</v>
      </c>
      <c r="E92" s="4">
        <v>1.61</v>
      </c>
      <c r="F92" s="4">
        <v>0.115</v>
      </c>
      <c r="G92" s="4">
        <v>16.2</v>
      </c>
      <c r="H92" s="4">
        <v>73.599999999999994</v>
      </c>
      <c r="I92" s="212"/>
      <c r="J92" s="212"/>
      <c r="K92" s="180">
        <v>18.5</v>
      </c>
      <c r="L92" s="201">
        <f t="shared" si="16"/>
        <v>1.1621621621621623</v>
      </c>
    </row>
    <row r="93" spans="1:42" ht="18" customHeight="1" x14ac:dyDescent="0.25">
      <c r="A93" s="44" t="s">
        <v>37</v>
      </c>
      <c r="B93" s="4" t="s">
        <v>0</v>
      </c>
      <c r="C93" s="46">
        <v>50</v>
      </c>
      <c r="D93" s="19">
        <f>D62/40*50</f>
        <v>9.0499999999999989</v>
      </c>
      <c r="E93" s="4">
        <v>2.37</v>
      </c>
      <c r="F93" s="4">
        <v>0.3</v>
      </c>
      <c r="G93" s="4">
        <v>14.49</v>
      </c>
      <c r="H93" s="4">
        <v>70.14</v>
      </c>
      <c r="I93" s="212"/>
      <c r="J93" s="212"/>
      <c r="K93" s="180">
        <f>K77/60*50</f>
        <v>5.5000000000000009</v>
      </c>
      <c r="L93" s="201">
        <f t="shared" si="16"/>
        <v>0.64545454545454506</v>
      </c>
    </row>
    <row r="94" spans="1:42" ht="18" customHeight="1" x14ac:dyDescent="0.25">
      <c r="A94" s="41"/>
      <c r="B94" s="9" t="s">
        <v>20</v>
      </c>
      <c r="C94" s="45">
        <f t="shared" ref="C94:H94" si="20">SUM(C90:C93)</f>
        <v>500</v>
      </c>
      <c r="D94" s="33">
        <f>SUM(D90:D93)</f>
        <v>72.959999999999994</v>
      </c>
      <c r="E94" s="5">
        <f t="shared" si="20"/>
        <v>15.391604938271609</v>
      </c>
      <c r="F94" s="5">
        <f t="shared" si="20"/>
        <v>15.799938271604901</v>
      </c>
      <c r="G94" s="5">
        <f t="shared" si="20"/>
        <v>66.996913580246897</v>
      </c>
      <c r="H94" s="5">
        <f t="shared" si="20"/>
        <v>469.99777777777797</v>
      </c>
      <c r="I94" s="10"/>
      <c r="J94" s="10"/>
    </row>
    <row r="95" spans="1:42" ht="18" customHeight="1" x14ac:dyDescent="0.2">
      <c r="A95" s="333" t="s">
        <v>11</v>
      </c>
      <c r="B95" s="334"/>
      <c r="C95" s="205"/>
      <c r="D95" s="34"/>
      <c r="E95" s="179"/>
      <c r="F95" s="179"/>
      <c r="G95" s="179"/>
      <c r="H95" s="179"/>
      <c r="I95" s="179"/>
      <c r="J95" s="179"/>
    </row>
    <row r="96" spans="1:42" ht="18" customHeight="1" x14ac:dyDescent="0.25">
      <c r="A96" s="41">
        <v>55</v>
      </c>
      <c r="B96" s="18" t="s">
        <v>216</v>
      </c>
      <c r="C96" s="58">
        <v>230</v>
      </c>
      <c r="D96" s="35">
        <v>19.77</v>
      </c>
      <c r="E96" s="12">
        <v>8.25</v>
      </c>
      <c r="F96" s="12">
        <v>9.6999999999999993</v>
      </c>
      <c r="G96" s="12">
        <v>31.8</v>
      </c>
      <c r="H96" s="12">
        <v>247.5</v>
      </c>
      <c r="I96" s="215"/>
      <c r="J96" s="215"/>
      <c r="K96" s="180">
        <v>5.94</v>
      </c>
      <c r="L96" s="201">
        <f t="shared" ref="L96:L123" si="21">D96/K96-1</f>
        <v>2.3282828282828278</v>
      </c>
    </row>
    <row r="97" spans="1:19" s="8" customFormat="1" ht="18" customHeight="1" x14ac:dyDescent="0.25">
      <c r="A97" s="41">
        <v>96</v>
      </c>
      <c r="B97" s="1" t="s">
        <v>203</v>
      </c>
      <c r="C97" s="51">
        <v>90</v>
      </c>
      <c r="D97" s="19">
        <f>34.37+13.26+1.85</f>
        <v>49.48</v>
      </c>
      <c r="E97" s="28">
        <v>4.7866666666666697</v>
      </c>
      <c r="F97" s="28">
        <v>7.5322222222221997</v>
      </c>
      <c r="G97" s="28">
        <f>8.46666666666667-7</f>
        <v>1.4666666666666703</v>
      </c>
      <c r="H97" s="28">
        <f>118.1-28</f>
        <v>90.1</v>
      </c>
      <c r="I97" s="216"/>
      <c r="J97" s="216"/>
      <c r="K97" s="180">
        <v>13.21</v>
      </c>
      <c r="L97" s="201">
        <f t="shared" si="21"/>
        <v>2.7456472369417102</v>
      </c>
      <c r="M97" s="180"/>
      <c r="N97" s="180"/>
    </row>
    <row r="98" spans="1:19" s="8" customFormat="1" ht="18" customHeight="1" x14ac:dyDescent="0.25">
      <c r="A98" s="41">
        <v>227</v>
      </c>
      <c r="B98" s="29" t="s">
        <v>132</v>
      </c>
      <c r="C98" s="57">
        <v>150</v>
      </c>
      <c r="D98" s="35">
        <v>16.86</v>
      </c>
      <c r="E98" s="28">
        <v>6.6666666666666696</v>
      </c>
      <c r="F98" s="28">
        <v>5.8666666666666671</v>
      </c>
      <c r="G98" s="28">
        <v>30.3333333333333</v>
      </c>
      <c r="H98" s="28">
        <v>200.8</v>
      </c>
      <c r="I98" s="216"/>
      <c r="J98" s="216"/>
      <c r="K98" s="180">
        <v>7.86</v>
      </c>
      <c r="L98" s="201">
        <f t="shared" si="21"/>
        <v>1.1450381679389312</v>
      </c>
      <c r="M98" s="180"/>
      <c r="N98" s="180"/>
    </row>
    <row r="99" spans="1:19" ht="18" customHeight="1" x14ac:dyDescent="0.25">
      <c r="A99" s="41">
        <v>300</v>
      </c>
      <c r="B99" s="176" t="s">
        <v>221</v>
      </c>
      <c r="C99" s="51">
        <v>200</v>
      </c>
      <c r="D99" s="19">
        <v>14.01</v>
      </c>
      <c r="E99" s="4">
        <v>0.1</v>
      </c>
      <c r="F99" s="4">
        <v>0</v>
      </c>
      <c r="G99" s="4">
        <v>20.2</v>
      </c>
      <c r="H99" s="4">
        <v>81.2</v>
      </c>
      <c r="I99" s="212"/>
      <c r="J99" s="212"/>
      <c r="K99" s="180">
        <v>2.65</v>
      </c>
      <c r="L99" s="201">
        <f t="shared" si="21"/>
        <v>4.2867924528301886</v>
      </c>
    </row>
    <row r="100" spans="1:19" ht="18" customHeight="1" x14ac:dyDescent="0.25">
      <c r="A100" s="44" t="s">
        <v>38</v>
      </c>
      <c r="B100" s="4" t="s">
        <v>5</v>
      </c>
      <c r="C100" s="46">
        <v>30</v>
      </c>
      <c r="D100" s="37">
        <v>2.92</v>
      </c>
      <c r="E100" s="2">
        <v>3.3000000000000003</v>
      </c>
      <c r="F100" s="2">
        <v>0.6</v>
      </c>
      <c r="G100" s="2">
        <v>16.7</v>
      </c>
      <c r="H100" s="2">
        <v>85.399999999999991</v>
      </c>
      <c r="I100" s="217"/>
      <c r="J100" s="217"/>
      <c r="K100" s="180">
        <v>1.83</v>
      </c>
      <c r="L100" s="201">
        <f t="shared" si="21"/>
        <v>0.59562841530054644</v>
      </c>
    </row>
    <row r="101" spans="1:19" ht="18" customHeight="1" x14ac:dyDescent="0.25">
      <c r="A101" s="43"/>
      <c r="B101" s="9" t="s">
        <v>20</v>
      </c>
      <c r="C101" s="45">
        <f t="shared" ref="C101:H101" si="22">SUM(C96:C100)</f>
        <v>700</v>
      </c>
      <c r="D101" s="83">
        <f>SUM(D96:D100)</f>
        <v>103.04</v>
      </c>
      <c r="E101" s="83">
        <f t="shared" si="22"/>
        <v>23.103333333333342</v>
      </c>
      <c r="F101" s="83">
        <f t="shared" si="22"/>
        <v>23.698888888888867</v>
      </c>
      <c r="G101" s="83">
        <f t="shared" si="22"/>
        <v>100.49999999999997</v>
      </c>
      <c r="H101" s="83">
        <f t="shared" si="22"/>
        <v>705.00000000000011</v>
      </c>
      <c r="I101" s="224"/>
      <c r="J101" s="224"/>
      <c r="L101" s="201"/>
    </row>
    <row r="102" spans="1:19" ht="18" customHeight="1" x14ac:dyDescent="0.25">
      <c r="A102" s="43"/>
      <c r="B102" s="3" t="s">
        <v>9</v>
      </c>
      <c r="C102" s="45"/>
      <c r="D102" s="33">
        <f>D94+D101</f>
        <v>176</v>
      </c>
      <c r="E102" s="33">
        <f>E94+E101</f>
        <v>38.494938271604951</v>
      </c>
      <c r="F102" s="33">
        <f>F94+F101</f>
        <v>39.498827160493768</v>
      </c>
      <c r="G102" s="33">
        <f>G94+G101</f>
        <v>167.49691358024688</v>
      </c>
      <c r="H102" s="33">
        <f>H94+H101</f>
        <v>1174.9977777777781</v>
      </c>
      <c r="I102" s="34">
        <v>176</v>
      </c>
      <c r="J102" s="34">
        <f>I102-D102</f>
        <v>0</v>
      </c>
      <c r="L102" s="201"/>
    </row>
    <row r="103" spans="1:19" ht="18" customHeight="1" x14ac:dyDescent="0.2">
      <c r="A103" s="331" t="s">
        <v>49</v>
      </c>
      <c r="B103" s="332"/>
      <c r="C103" s="203"/>
      <c r="D103" s="21"/>
      <c r="E103" s="34"/>
      <c r="F103" s="34"/>
      <c r="G103" s="34"/>
      <c r="H103" s="34"/>
      <c r="I103" s="34"/>
      <c r="J103" s="34"/>
      <c r="L103" s="201"/>
      <c r="P103" s="237">
        <f>E101-E103</f>
        <v>23.103333333333342</v>
      </c>
      <c r="Q103" s="237">
        <f t="shared" ref="Q103:S103" si="23">F101-F103</f>
        <v>23.698888888888867</v>
      </c>
      <c r="R103" s="237">
        <f t="shared" si="23"/>
        <v>100.49999999999997</v>
      </c>
      <c r="S103" s="237">
        <f t="shared" si="23"/>
        <v>705.00000000000011</v>
      </c>
    </row>
    <row r="104" spans="1:19" ht="18" customHeight="1" x14ac:dyDescent="0.2">
      <c r="A104" s="330" t="s">
        <v>10</v>
      </c>
      <c r="B104" s="330"/>
      <c r="C104" s="204"/>
      <c r="D104" s="34"/>
      <c r="E104" s="179"/>
      <c r="F104" s="179"/>
      <c r="G104" s="179"/>
      <c r="H104" s="179"/>
      <c r="I104" s="179"/>
      <c r="J104" s="179"/>
      <c r="L104" s="201"/>
    </row>
    <row r="105" spans="1:19" ht="18" customHeight="1" x14ac:dyDescent="0.25">
      <c r="A105" s="41">
        <v>241</v>
      </c>
      <c r="B105" s="25" t="s">
        <v>209</v>
      </c>
      <c r="C105" s="46">
        <v>140</v>
      </c>
      <c r="D105" s="37">
        <f>49.75+11</f>
        <v>60.75</v>
      </c>
      <c r="E105" s="78">
        <v>9.218264462809902</v>
      </c>
      <c r="F105" s="78">
        <v>13.82057851239669</v>
      </c>
      <c r="G105" s="78">
        <v>7.630991735537199</v>
      </c>
      <c r="H105" s="78">
        <v>189.902231404959</v>
      </c>
      <c r="I105" s="218"/>
      <c r="J105" s="218"/>
      <c r="K105" s="180">
        <v>23.95</v>
      </c>
      <c r="L105" s="201">
        <f t="shared" si="21"/>
        <v>1.536534446764092</v>
      </c>
    </row>
    <row r="106" spans="1:19" ht="18" customHeight="1" x14ac:dyDescent="0.25">
      <c r="A106" s="41" t="s">
        <v>36</v>
      </c>
      <c r="B106" s="30" t="s">
        <v>33</v>
      </c>
      <c r="C106" s="52">
        <v>60</v>
      </c>
      <c r="D106" s="37">
        <f>12.48+1.85</f>
        <v>14.33</v>
      </c>
      <c r="E106" s="17">
        <v>2.1840000000000002</v>
      </c>
      <c r="F106" s="17">
        <v>0.48</v>
      </c>
      <c r="G106" s="17">
        <v>1.9679999999999997</v>
      </c>
      <c r="H106" s="17">
        <v>21</v>
      </c>
      <c r="I106" s="214"/>
      <c r="J106" s="214"/>
      <c r="K106" s="180">
        <f>D106/1.6</f>
        <v>8.9562499999999989</v>
      </c>
      <c r="L106" s="201">
        <f t="shared" si="21"/>
        <v>0.60000000000000009</v>
      </c>
    </row>
    <row r="107" spans="1:19" ht="18" customHeight="1" x14ac:dyDescent="0.25">
      <c r="A107" s="41">
        <v>300</v>
      </c>
      <c r="B107" s="23" t="s">
        <v>26</v>
      </c>
      <c r="C107" s="51">
        <v>200</v>
      </c>
      <c r="D107" s="19">
        <v>4.03</v>
      </c>
      <c r="E107" s="4">
        <v>0.1</v>
      </c>
      <c r="F107" s="4">
        <v>0</v>
      </c>
      <c r="G107" s="4">
        <v>20.2</v>
      </c>
      <c r="H107" s="4">
        <v>81.2</v>
      </c>
      <c r="I107" s="212"/>
      <c r="J107" s="212"/>
      <c r="K107" s="180">
        <v>2.65</v>
      </c>
      <c r="L107" s="201">
        <f t="shared" si="21"/>
        <v>0.52075471698113218</v>
      </c>
    </row>
    <row r="108" spans="1:19" ht="15.75" x14ac:dyDescent="0.25">
      <c r="A108" s="41">
        <v>429</v>
      </c>
      <c r="B108" s="13" t="s">
        <v>137</v>
      </c>
      <c r="C108" s="46">
        <v>100</v>
      </c>
      <c r="D108" s="37">
        <f>13.48-1.41</f>
        <v>12.07</v>
      </c>
      <c r="E108" s="4">
        <v>3.9</v>
      </c>
      <c r="F108" s="4">
        <v>1.5</v>
      </c>
      <c r="G108" s="4">
        <v>37.200000000000003</v>
      </c>
      <c r="H108" s="4">
        <v>177.9</v>
      </c>
      <c r="I108" s="212"/>
      <c r="J108" s="212"/>
      <c r="K108" s="180">
        <v>6.52</v>
      </c>
      <c r="L108" s="201">
        <f t="shared" si="21"/>
        <v>0.85122699386503076</v>
      </c>
    </row>
    <row r="109" spans="1:19" ht="15.75" x14ac:dyDescent="0.25">
      <c r="A109" s="43"/>
      <c r="B109" s="9" t="s">
        <v>20</v>
      </c>
      <c r="C109" s="45">
        <f t="shared" ref="C109:H109" si="24">SUM(C105:C108)</f>
        <v>500</v>
      </c>
      <c r="D109" s="33">
        <f>SUM(D105:D108)</f>
        <v>91.18</v>
      </c>
      <c r="E109" s="33">
        <f t="shared" si="24"/>
        <v>15.402264462809903</v>
      </c>
      <c r="F109" s="33">
        <f t="shared" si="24"/>
        <v>15.80057851239669</v>
      </c>
      <c r="G109" s="33">
        <f t="shared" si="24"/>
        <v>66.998991735537203</v>
      </c>
      <c r="H109" s="33">
        <f t="shared" si="24"/>
        <v>470.00223140495905</v>
      </c>
      <c r="I109" s="34"/>
      <c r="J109" s="34"/>
      <c r="L109" s="201"/>
    </row>
    <row r="110" spans="1:19" ht="18" customHeight="1" x14ac:dyDescent="0.2">
      <c r="A110" s="334" t="s">
        <v>11</v>
      </c>
      <c r="B110" s="334"/>
      <c r="C110" s="205"/>
      <c r="D110" s="34"/>
      <c r="E110" s="179"/>
      <c r="F110" s="179"/>
      <c r="G110" s="179"/>
      <c r="H110" s="179"/>
      <c r="I110" s="179"/>
      <c r="J110" s="179"/>
      <c r="L110" s="201"/>
    </row>
    <row r="111" spans="1:19" ht="18" customHeight="1" x14ac:dyDescent="0.25">
      <c r="A111" s="100">
        <v>56</v>
      </c>
      <c r="B111" s="1" t="s">
        <v>169</v>
      </c>
      <c r="C111" s="58">
        <v>220</v>
      </c>
      <c r="D111" s="19">
        <v>16.82</v>
      </c>
      <c r="E111" s="24">
        <v>6.4</v>
      </c>
      <c r="F111" s="24">
        <v>8</v>
      </c>
      <c r="G111" s="24">
        <v>30.7</v>
      </c>
      <c r="H111" s="24">
        <v>220.4</v>
      </c>
      <c r="I111" s="225"/>
      <c r="J111" s="225"/>
      <c r="K111" s="180">
        <v>8.8699999999999992</v>
      </c>
      <c r="L111" s="201">
        <f t="shared" si="21"/>
        <v>0.89627959413754255</v>
      </c>
    </row>
    <row r="112" spans="1:19" s="8" customFormat="1" ht="18" customHeight="1" x14ac:dyDescent="0.25">
      <c r="A112" s="41">
        <v>107</v>
      </c>
      <c r="B112" s="23" t="s">
        <v>81</v>
      </c>
      <c r="C112" s="52">
        <v>100</v>
      </c>
      <c r="D112" s="19">
        <f>33.3+3.33</f>
        <v>36.629999999999995</v>
      </c>
      <c r="E112" s="20">
        <v>7.39</v>
      </c>
      <c r="F112" s="20">
        <v>7.5499999999999989</v>
      </c>
      <c r="G112" s="20">
        <v>18</v>
      </c>
      <c r="H112" s="20">
        <v>170.01</v>
      </c>
      <c r="I112" s="226"/>
      <c r="J112" s="226"/>
      <c r="K112" s="180">
        <v>15.46</v>
      </c>
      <c r="L112" s="201">
        <f t="shared" si="21"/>
        <v>1.3693402328589905</v>
      </c>
      <c r="M112" s="180"/>
      <c r="N112" s="180"/>
    </row>
    <row r="113" spans="1:17" s="8" customFormat="1" ht="18" customHeight="1" x14ac:dyDescent="0.25">
      <c r="A113" s="59">
        <v>227</v>
      </c>
      <c r="B113" s="1" t="s">
        <v>58</v>
      </c>
      <c r="C113" s="52">
        <v>150</v>
      </c>
      <c r="D113" s="19">
        <v>19.25</v>
      </c>
      <c r="E113" s="28">
        <v>7.1253333333333337</v>
      </c>
      <c r="F113" s="28">
        <v>7.69</v>
      </c>
      <c r="G113" s="28">
        <v>24.578000000000003</v>
      </c>
      <c r="H113" s="28">
        <v>193.35000000000002</v>
      </c>
      <c r="I113" s="216"/>
      <c r="J113" s="216"/>
      <c r="K113" s="180">
        <v>3.96</v>
      </c>
      <c r="L113" s="201">
        <f t="shared" si="21"/>
        <v>3.8611111111111107</v>
      </c>
      <c r="M113" s="180"/>
      <c r="N113" s="180"/>
    </row>
    <row r="114" spans="1:17" ht="18" customHeight="1" x14ac:dyDescent="0.25">
      <c r="A114" s="41">
        <v>311</v>
      </c>
      <c r="B114" s="12" t="s">
        <v>25</v>
      </c>
      <c r="C114" s="27">
        <v>200</v>
      </c>
      <c r="D114" s="19">
        <v>9.1999999999999993</v>
      </c>
      <c r="E114" s="20">
        <v>0.2</v>
      </c>
      <c r="F114" s="20">
        <v>0.1</v>
      </c>
      <c r="G114" s="20">
        <v>17.2</v>
      </c>
      <c r="H114" s="12">
        <v>70</v>
      </c>
      <c r="I114" s="215"/>
      <c r="J114" s="215"/>
      <c r="K114" s="180">
        <v>5.35</v>
      </c>
      <c r="L114" s="201">
        <f t="shared" si="21"/>
        <v>0.71962616822429903</v>
      </c>
    </row>
    <row r="115" spans="1:17" ht="18" customHeight="1" x14ac:dyDescent="0.25">
      <c r="A115" s="44" t="s">
        <v>38</v>
      </c>
      <c r="B115" s="4" t="s">
        <v>5</v>
      </c>
      <c r="C115" s="46">
        <v>30</v>
      </c>
      <c r="D115" s="37">
        <v>2.92</v>
      </c>
      <c r="E115" s="2">
        <v>1.98</v>
      </c>
      <c r="F115" s="47">
        <v>0.36</v>
      </c>
      <c r="G115" s="2">
        <v>10.02</v>
      </c>
      <c r="H115" s="2">
        <v>51.24</v>
      </c>
      <c r="I115" s="217"/>
      <c r="J115" s="217"/>
      <c r="K115" s="180">
        <v>1.83</v>
      </c>
      <c r="L115" s="201">
        <f t="shared" si="21"/>
        <v>0.59562841530054644</v>
      </c>
    </row>
    <row r="116" spans="1:17" ht="18" customHeight="1" x14ac:dyDescent="0.25">
      <c r="A116" s="43"/>
      <c r="B116" s="9" t="s">
        <v>20</v>
      </c>
      <c r="C116" s="45">
        <f t="shared" ref="C116:H116" si="25">SUM(C111:C115)</f>
        <v>700</v>
      </c>
      <c r="D116" s="33">
        <f>SUM(D111:D115)</f>
        <v>84.82</v>
      </c>
      <c r="E116" s="33">
        <f t="shared" si="25"/>
        <v>23.095333333333333</v>
      </c>
      <c r="F116" s="33">
        <f t="shared" si="25"/>
        <v>23.7</v>
      </c>
      <c r="G116" s="33">
        <f t="shared" si="25"/>
        <v>100.498</v>
      </c>
      <c r="H116" s="33">
        <f t="shared" si="25"/>
        <v>705</v>
      </c>
      <c r="I116" s="34"/>
      <c r="J116" s="34"/>
      <c r="L116" s="201"/>
    </row>
    <row r="117" spans="1:17" ht="18" customHeight="1" x14ac:dyDescent="0.25">
      <c r="A117" s="43"/>
      <c r="B117" s="3" t="s">
        <v>9</v>
      </c>
      <c r="C117" s="45"/>
      <c r="D117" s="33">
        <f>D109+D116</f>
        <v>176</v>
      </c>
      <c r="E117" s="33">
        <f>E109+E116</f>
        <v>38.497597796143239</v>
      </c>
      <c r="F117" s="33">
        <f>F109+F116</f>
        <v>39.500578512396686</v>
      </c>
      <c r="G117" s="33">
        <f>G109+G116</f>
        <v>167.49699173553722</v>
      </c>
      <c r="H117" s="33">
        <f>H109+H116</f>
        <v>1175.002231404959</v>
      </c>
      <c r="I117" s="34">
        <v>176</v>
      </c>
      <c r="J117" s="34">
        <f>I117-D117</f>
        <v>0</v>
      </c>
      <c r="L117" s="201"/>
      <c r="Q117" s="237"/>
    </row>
    <row r="118" spans="1:17" ht="18" customHeight="1" x14ac:dyDescent="0.2">
      <c r="A118" s="331" t="s">
        <v>50</v>
      </c>
      <c r="B118" s="332"/>
      <c r="C118" s="203"/>
      <c r="D118" s="21"/>
      <c r="E118" s="34"/>
      <c r="F118" s="34"/>
      <c r="G118" s="34"/>
      <c r="H118" s="34"/>
      <c r="I118" s="34"/>
      <c r="J118" s="34"/>
      <c r="L118" s="201"/>
    </row>
    <row r="119" spans="1:17" ht="18" customHeight="1" x14ac:dyDescent="0.2">
      <c r="A119" s="330" t="s">
        <v>12</v>
      </c>
      <c r="B119" s="330"/>
      <c r="C119" s="204"/>
      <c r="D119" s="34"/>
      <c r="E119" s="179"/>
      <c r="F119" s="179"/>
      <c r="G119" s="179"/>
      <c r="H119" s="179"/>
      <c r="I119" s="179"/>
      <c r="J119" s="179"/>
      <c r="L119" s="201"/>
    </row>
    <row r="120" spans="1:17" ht="18" customHeight="1" x14ac:dyDescent="0.25">
      <c r="A120" s="41">
        <v>136</v>
      </c>
      <c r="B120" s="23" t="s">
        <v>217</v>
      </c>
      <c r="C120" s="52">
        <v>100</v>
      </c>
      <c r="D120" s="37">
        <v>45.05</v>
      </c>
      <c r="E120" s="19">
        <v>4.7300000000000004</v>
      </c>
      <c r="F120" s="19">
        <v>8.43</v>
      </c>
      <c r="G120" s="19">
        <v>4.9000000000000004</v>
      </c>
      <c r="H120" s="19">
        <v>112.62</v>
      </c>
      <c r="I120" s="213"/>
      <c r="J120" s="213"/>
      <c r="K120" s="180">
        <v>16.09</v>
      </c>
      <c r="L120" s="201">
        <f t="shared" si="21"/>
        <v>1.7998756991920444</v>
      </c>
    </row>
    <row r="121" spans="1:17" ht="18" customHeight="1" x14ac:dyDescent="0.25">
      <c r="A121" s="41">
        <v>227</v>
      </c>
      <c r="B121" s="29" t="s">
        <v>34</v>
      </c>
      <c r="C121" s="57">
        <v>150</v>
      </c>
      <c r="D121" s="35">
        <v>16.86</v>
      </c>
      <c r="E121" s="28">
        <v>6.6666666666666696</v>
      </c>
      <c r="F121" s="28">
        <v>5.8666666666666671</v>
      </c>
      <c r="G121" s="28">
        <v>30.3333333333333</v>
      </c>
      <c r="H121" s="28">
        <v>200.8</v>
      </c>
      <c r="I121" s="216"/>
      <c r="J121" s="216"/>
      <c r="K121" s="180">
        <v>7.86</v>
      </c>
      <c r="L121" s="201">
        <f t="shared" si="21"/>
        <v>1.1450381679389312</v>
      </c>
    </row>
    <row r="122" spans="1:17" ht="18" customHeight="1" x14ac:dyDescent="0.25">
      <c r="A122" s="41">
        <v>300</v>
      </c>
      <c r="B122" s="23" t="s">
        <v>26</v>
      </c>
      <c r="C122" s="51">
        <v>200</v>
      </c>
      <c r="D122" s="19">
        <v>4.03</v>
      </c>
      <c r="E122" s="4">
        <v>0.1</v>
      </c>
      <c r="F122" s="4">
        <v>0</v>
      </c>
      <c r="G122" s="4">
        <v>20.2</v>
      </c>
      <c r="H122" s="4">
        <v>81.2</v>
      </c>
      <c r="I122" s="212"/>
      <c r="J122" s="212"/>
      <c r="K122" s="180">
        <v>2.65</v>
      </c>
      <c r="L122" s="201">
        <f t="shared" si="21"/>
        <v>0.52075471698113218</v>
      </c>
    </row>
    <row r="123" spans="1:17" ht="18" customHeight="1" x14ac:dyDescent="0.25">
      <c r="A123" s="41">
        <v>429</v>
      </c>
      <c r="B123" s="13" t="s">
        <v>137</v>
      </c>
      <c r="C123" s="46">
        <v>50</v>
      </c>
      <c r="D123" s="37">
        <f>D108/2+0.95</f>
        <v>6.9850000000000003</v>
      </c>
      <c r="E123" s="4">
        <v>3.9</v>
      </c>
      <c r="F123" s="4">
        <v>1.5</v>
      </c>
      <c r="G123" s="4">
        <v>11.570000000000004</v>
      </c>
      <c r="H123" s="4">
        <v>75.38</v>
      </c>
      <c r="I123" s="212"/>
      <c r="J123" s="212"/>
      <c r="K123" s="180">
        <f>K108/2</f>
        <v>3.26</v>
      </c>
      <c r="L123" s="201">
        <f t="shared" si="21"/>
        <v>1.1426380368098163</v>
      </c>
    </row>
    <row r="124" spans="1:17" ht="18" customHeight="1" x14ac:dyDescent="0.25">
      <c r="A124" s="206"/>
      <c r="B124" s="9" t="s">
        <v>20</v>
      </c>
      <c r="C124" s="45">
        <f t="shared" ref="C124:H124" si="26">SUM(C120:C123)</f>
        <v>500</v>
      </c>
      <c r="D124" s="33">
        <f>SUM(D120:D123)</f>
        <v>72.924999999999997</v>
      </c>
      <c r="E124" s="33">
        <f t="shared" si="26"/>
        <v>15.39666666666667</v>
      </c>
      <c r="F124" s="33">
        <f t="shared" si="26"/>
        <v>15.796666666666667</v>
      </c>
      <c r="G124" s="33">
        <f t="shared" si="26"/>
        <v>67.003333333333302</v>
      </c>
      <c r="H124" s="33">
        <f t="shared" si="26"/>
        <v>470</v>
      </c>
      <c r="I124" s="34"/>
      <c r="J124" s="34"/>
    </row>
    <row r="125" spans="1:17" ht="18" customHeight="1" x14ac:dyDescent="0.2">
      <c r="A125" s="333" t="s">
        <v>11</v>
      </c>
      <c r="B125" s="334"/>
      <c r="C125" s="49"/>
      <c r="D125" s="34"/>
      <c r="E125" s="179"/>
      <c r="F125" s="179"/>
      <c r="G125" s="179"/>
      <c r="H125" s="179"/>
      <c r="I125" s="179"/>
      <c r="J125" s="179"/>
    </row>
    <row r="126" spans="1:17" ht="18" customHeight="1" x14ac:dyDescent="0.2">
      <c r="A126" s="207">
        <v>55</v>
      </c>
      <c r="B126" s="177" t="s">
        <v>155</v>
      </c>
      <c r="C126" s="178">
        <v>230</v>
      </c>
      <c r="D126" s="37">
        <f>11.67+3.7</f>
        <v>15.370000000000001</v>
      </c>
      <c r="E126" s="23">
        <v>8.870000000000001</v>
      </c>
      <c r="F126" s="23">
        <v>9.4</v>
      </c>
      <c r="G126" s="23">
        <v>32.799999999999997</v>
      </c>
      <c r="H126" s="23">
        <v>251.28</v>
      </c>
      <c r="I126" s="195"/>
      <c r="J126" s="195"/>
      <c r="K126" s="180">
        <f>7.05/250*230</f>
        <v>6.4859999999999998</v>
      </c>
      <c r="L126" s="201">
        <f t="shared" ref="L126:L139" si="27">D126/K126-1</f>
        <v>1.3697193956213387</v>
      </c>
    </row>
    <row r="127" spans="1:17" s="8" customFormat="1" ht="18" customHeight="1" x14ac:dyDescent="0.25">
      <c r="A127" s="41">
        <v>96</v>
      </c>
      <c r="B127" s="1" t="s">
        <v>212</v>
      </c>
      <c r="C127" s="208">
        <v>90</v>
      </c>
      <c r="D127" s="35">
        <f>60.2-1.15</f>
        <v>59.050000000000004</v>
      </c>
      <c r="E127" s="14">
        <f>8.8-2.56</f>
        <v>6.24</v>
      </c>
      <c r="F127" s="14">
        <f>6.3-0.52</f>
        <v>5.7799999999999994</v>
      </c>
      <c r="G127" s="14">
        <f>3.1+9.17</f>
        <v>12.27</v>
      </c>
      <c r="H127" s="14">
        <f>92.68+30.68</f>
        <v>123.36000000000001</v>
      </c>
      <c r="I127" s="219"/>
      <c r="J127" s="219"/>
      <c r="K127" s="180">
        <v>24.87</v>
      </c>
      <c r="L127" s="201">
        <f t="shared" si="27"/>
        <v>1.3743466023321274</v>
      </c>
      <c r="M127" s="180"/>
      <c r="N127" s="180"/>
    </row>
    <row r="128" spans="1:17" s="8" customFormat="1" ht="18" customHeight="1" x14ac:dyDescent="0.25">
      <c r="A128" s="147" t="s">
        <v>170</v>
      </c>
      <c r="B128" s="4" t="s">
        <v>171</v>
      </c>
      <c r="C128" s="208">
        <v>150</v>
      </c>
      <c r="D128" s="37">
        <v>13.62</v>
      </c>
      <c r="E128" s="17">
        <v>5.910000000000001</v>
      </c>
      <c r="F128" s="17">
        <v>8.16</v>
      </c>
      <c r="G128" s="17">
        <v>25.21</v>
      </c>
      <c r="H128" s="17">
        <v>197.92</v>
      </c>
      <c r="I128" s="214"/>
      <c r="J128" s="214"/>
      <c r="K128" s="180">
        <v>6.19</v>
      </c>
      <c r="L128" s="201">
        <f t="shared" si="27"/>
        <v>1.2003231017770597</v>
      </c>
      <c r="M128" s="180"/>
      <c r="N128" s="180"/>
    </row>
    <row r="129" spans="1:26" ht="18" customHeight="1" x14ac:dyDescent="0.25">
      <c r="A129" s="59">
        <v>300</v>
      </c>
      <c r="B129" s="176" t="s">
        <v>29</v>
      </c>
      <c r="C129" s="46">
        <v>200</v>
      </c>
      <c r="D129" s="19">
        <f>13.59-1.48</f>
        <v>12.11</v>
      </c>
      <c r="E129" s="4">
        <v>0.1</v>
      </c>
      <c r="F129" s="4">
        <v>0</v>
      </c>
      <c r="G129" s="4">
        <v>20.2</v>
      </c>
      <c r="H129" s="4">
        <v>81.2</v>
      </c>
      <c r="I129" s="212"/>
      <c r="J129" s="212"/>
      <c r="K129" s="180">
        <v>4.3099999999999996</v>
      </c>
      <c r="L129" s="201">
        <f t="shared" si="27"/>
        <v>1.8097447795823669</v>
      </c>
    </row>
    <row r="130" spans="1:26" ht="18" customHeight="1" x14ac:dyDescent="0.25">
      <c r="A130" s="44" t="s">
        <v>38</v>
      </c>
      <c r="B130" s="4" t="s">
        <v>5</v>
      </c>
      <c r="C130" s="46">
        <v>30</v>
      </c>
      <c r="D130" s="37">
        <v>2.92</v>
      </c>
      <c r="E130" s="2">
        <v>1.98</v>
      </c>
      <c r="F130" s="47">
        <v>0.36</v>
      </c>
      <c r="G130" s="2">
        <v>10.02</v>
      </c>
      <c r="H130" s="2">
        <v>51.24</v>
      </c>
      <c r="I130" s="217"/>
      <c r="J130" s="217"/>
      <c r="K130" s="180">
        <v>1.83</v>
      </c>
      <c r="L130" s="201">
        <f t="shared" si="27"/>
        <v>0.59562841530054644</v>
      </c>
    </row>
    <row r="131" spans="1:26" ht="18" customHeight="1" x14ac:dyDescent="0.25">
      <c r="A131" s="43"/>
      <c r="B131" s="9" t="s">
        <v>20</v>
      </c>
      <c r="C131" s="45">
        <f t="shared" ref="C131:H131" si="28">SUM(C126:C130)</f>
        <v>700</v>
      </c>
      <c r="D131" s="33">
        <f>SUM(D126:D130)</f>
        <v>103.07000000000001</v>
      </c>
      <c r="E131" s="5">
        <f t="shared" si="28"/>
        <v>23.100000000000005</v>
      </c>
      <c r="F131" s="5">
        <f t="shared" si="28"/>
        <v>23.7</v>
      </c>
      <c r="G131" s="5">
        <f t="shared" si="28"/>
        <v>100.5</v>
      </c>
      <c r="H131" s="5">
        <f t="shared" si="28"/>
        <v>705</v>
      </c>
      <c r="I131" s="10"/>
      <c r="J131" s="10"/>
      <c r="L131" s="201"/>
    </row>
    <row r="132" spans="1:26" ht="18" customHeight="1" x14ac:dyDescent="0.25">
      <c r="A132" s="43"/>
      <c r="B132" s="3" t="s">
        <v>9</v>
      </c>
      <c r="C132" s="45"/>
      <c r="D132" s="33">
        <f>D124+D131</f>
        <v>175.995</v>
      </c>
      <c r="E132" s="33">
        <f>E124+E131</f>
        <v>38.496666666666677</v>
      </c>
      <c r="F132" s="33">
        <f>F124+F131</f>
        <v>39.49666666666667</v>
      </c>
      <c r="G132" s="33">
        <f>G124+G131</f>
        <v>167.5033333333333</v>
      </c>
      <c r="H132" s="33">
        <f>H124+H131</f>
        <v>1175</v>
      </c>
      <c r="I132" s="34">
        <v>176</v>
      </c>
      <c r="J132" s="34">
        <f>I132-D132</f>
        <v>4.9999999999954525E-3</v>
      </c>
      <c r="L132" s="201"/>
      <c r="Q132" s="237"/>
    </row>
    <row r="133" spans="1:26" ht="18" customHeight="1" x14ac:dyDescent="0.2">
      <c r="A133" s="333" t="s">
        <v>51</v>
      </c>
      <c r="B133" s="334"/>
      <c r="C133" s="205"/>
      <c r="D133" s="31"/>
      <c r="E133" s="183"/>
      <c r="F133" s="183"/>
      <c r="G133" s="183"/>
      <c r="H133" s="183"/>
      <c r="I133" s="10"/>
      <c r="J133" s="10"/>
      <c r="L133" s="201"/>
      <c r="W133" s="314">
        <f>E131-E133</f>
        <v>23.100000000000005</v>
      </c>
      <c r="X133" s="314">
        <f t="shared" ref="X133:Z133" si="29">F131-F133</f>
        <v>23.7</v>
      </c>
      <c r="Y133" s="314">
        <f t="shared" si="29"/>
        <v>100.5</v>
      </c>
      <c r="Z133" s="314">
        <f t="shared" si="29"/>
        <v>705</v>
      </c>
    </row>
    <row r="134" spans="1:26" ht="18" customHeight="1" x14ac:dyDescent="0.2">
      <c r="A134" s="333" t="s">
        <v>12</v>
      </c>
      <c r="B134" s="334"/>
      <c r="C134" s="49"/>
      <c r="D134" s="33"/>
      <c r="E134" s="3"/>
      <c r="F134" s="3"/>
      <c r="G134" s="3"/>
      <c r="H134" s="3"/>
      <c r="I134" s="16"/>
      <c r="J134" s="16"/>
      <c r="L134" s="201"/>
    </row>
    <row r="135" spans="1:26" ht="18" customHeight="1" x14ac:dyDescent="0.25">
      <c r="A135" s="41">
        <v>258</v>
      </c>
      <c r="B135" s="4" t="s">
        <v>187</v>
      </c>
      <c r="C135" s="46">
        <v>120</v>
      </c>
      <c r="D135" s="37">
        <f>33.51-0.25</f>
        <v>33.26</v>
      </c>
      <c r="E135" s="15">
        <v>4.7199999999999989</v>
      </c>
      <c r="F135" s="15">
        <v>9.9599999999999991</v>
      </c>
      <c r="G135" s="15">
        <v>41.6</v>
      </c>
      <c r="H135" s="15">
        <v>272.82000000000005</v>
      </c>
      <c r="I135" s="211"/>
      <c r="J135" s="211"/>
      <c r="K135" s="180">
        <v>20.03</v>
      </c>
      <c r="L135" s="201">
        <f t="shared" si="27"/>
        <v>0.66050923614578116</v>
      </c>
    </row>
    <row r="136" spans="1:26" s="8" customFormat="1" ht="18" customHeight="1" x14ac:dyDescent="0.25">
      <c r="A136" s="41" t="s">
        <v>36</v>
      </c>
      <c r="B136" s="4" t="s">
        <v>120</v>
      </c>
      <c r="C136" s="46">
        <v>50</v>
      </c>
      <c r="D136" s="37">
        <v>19</v>
      </c>
      <c r="E136" s="15">
        <v>5.12</v>
      </c>
      <c r="F136" s="15">
        <v>4.6399999999999997</v>
      </c>
      <c r="G136" s="15">
        <v>0.27999999999999997</v>
      </c>
      <c r="H136" s="15">
        <v>63.48</v>
      </c>
      <c r="I136" s="211"/>
      <c r="J136" s="211"/>
      <c r="K136" s="180">
        <v>9</v>
      </c>
      <c r="L136" s="201">
        <f t="shared" si="27"/>
        <v>1.1111111111111112</v>
      </c>
      <c r="M136" s="180"/>
      <c r="N136" s="180"/>
    </row>
    <row r="137" spans="1:26" ht="18" customHeight="1" x14ac:dyDescent="0.25">
      <c r="A137" s="41">
        <v>300</v>
      </c>
      <c r="B137" s="23" t="s">
        <v>26</v>
      </c>
      <c r="C137" s="51">
        <v>200</v>
      </c>
      <c r="D137" s="19">
        <v>4.03</v>
      </c>
      <c r="E137" s="4">
        <v>0.1</v>
      </c>
      <c r="F137" s="4">
        <v>0</v>
      </c>
      <c r="G137" s="4">
        <v>20.2</v>
      </c>
      <c r="H137" s="4">
        <v>81.2</v>
      </c>
      <c r="I137" s="212"/>
      <c r="J137" s="212"/>
      <c r="K137" s="180">
        <v>2.65</v>
      </c>
      <c r="L137" s="201">
        <f t="shared" si="27"/>
        <v>0.52075471698113218</v>
      </c>
    </row>
    <row r="138" spans="1:26" ht="18" customHeight="1" x14ac:dyDescent="0.25">
      <c r="A138" s="41" t="s">
        <v>36</v>
      </c>
      <c r="B138" s="4" t="s">
        <v>33</v>
      </c>
      <c r="C138" s="52">
        <v>80</v>
      </c>
      <c r="D138" s="37">
        <f>16+3.7</f>
        <v>19.7</v>
      </c>
      <c r="E138" s="15">
        <v>3.64</v>
      </c>
      <c r="F138" s="15">
        <v>0.8</v>
      </c>
      <c r="G138" s="15">
        <v>3.28</v>
      </c>
      <c r="H138" s="15">
        <v>35</v>
      </c>
      <c r="I138" s="211"/>
      <c r="J138" s="211"/>
      <c r="K138" s="180">
        <f>D138/1.6</f>
        <v>12.312499999999998</v>
      </c>
      <c r="L138" s="201">
        <f t="shared" si="27"/>
        <v>0.60000000000000009</v>
      </c>
      <c r="M138" s="180">
        <f>200*0.08</f>
        <v>16</v>
      </c>
    </row>
    <row r="139" spans="1:26" ht="18" customHeight="1" x14ac:dyDescent="0.25">
      <c r="A139" s="41" t="s">
        <v>36</v>
      </c>
      <c r="B139" s="13" t="s">
        <v>159</v>
      </c>
      <c r="C139" s="52">
        <v>50</v>
      </c>
      <c r="D139" s="37">
        <f>D13/45*50</f>
        <v>21.9</v>
      </c>
      <c r="E139" s="17">
        <v>1.82</v>
      </c>
      <c r="F139" s="17">
        <v>0.4</v>
      </c>
      <c r="G139" s="17">
        <v>1.64</v>
      </c>
      <c r="H139" s="17">
        <v>17.5</v>
      </c>
      <c r="I139" s="214"/>
      <c r="J139" s="214"/>
      <c r="K139" s="180">
        <f>K13/45*50</f>
        <v>10.327500000000001</v>
      </c>
      <c r="L139" s="201">
        <f t="shared" si="27"/>
        <v>1.1205519244734927</v>
      </c>
    </row>
    <row r="140" spans="1:26" ht="18" customHeight="1" x14ac:dyDescent="0.25">
      <c r="A140" s="43"/>
      <c r="B140" s="9" t="s">
        <v>20</v>
      </c>
      <c r="C140" s="45">
        <f t="shared" ref="C140:H140" si="30">SUM(C135:C139)</f>
        <v>500</v>
      </c>
      <c r="D140" s="33">
        <f>SUM(D135:D139)</f>
        <v>97.889999999999986</v>
      </c>
      <c r="E140" s="33">
        <f t="shared" si="30"/>
        <v>15.4</v>
      </c>
      <c r="F140" s="33">
        <f t="shared" si="30"/>
        <v>15.799999999999999</v>
      </c>
      <c r="G140" s="33">
        <f t="shared" si="30"/>
        <v>67</v>
      </c>
      <c r="H140" s="33">
        <f t="shared" si="30"/>
        <v>470.00000000000006</v>
      </c>
      <c r="I140" s="34"/>
      <c r="J140" s="34"/>
    </row>
    <row r="141" spans="1:26" ht="18" customHeight="1" x14ac:dyDescent="0.2">
      <c r="A141" s="330" t="s">
        <v>11</v>
      </c>
      <c r="B141" s="330"/>
      <c r="C141" s="204"/>
      <c r="D141" s="34"/>
      <c r="E141" s="179"/>
      <c r="F141" s="179"/>
      <c r="G141" s="179"/>
      <c r="H141" s="179"/>
      <c r="I141" s="179"/>
      <c r="J141" s="179"/>
    </row>
    <row r="142" spans="1:26" ht="18" customHeight="1" x14ac:dyDescent="0.2">
      <c r="A142" s="70" t="s">
        <v>57</v>
      </c>
      <c r="B142" s="1" t="s">
        <v>215</v>
      </c>
      <c r="C142" s="67">
        <v>200</v>
      </c>
      <c r="D142" s="66">
        <v>11.41</v>
      </c>
      <c r="E142" s="66">
        <v>5.92</v>
      </c>
      <c r="F142" s="66">
        <v>6</v>
      </c>
      <c r="G142" s="66">
        <v>19.84</v>
      </c>
      <c r="H142" s="66">
        <v>156.64000000000001</v>
      </c>
      <c r="I142" s="228"/>
      <c r="J142" s="228"/>
      <c r="K142" s="180">
        <v>6.35</v>
      </c>
      <c r="L142" s="201">
        <f t="shared" ref="L142:L146" si="31">D142/K142-1</f>
        <v>0.79685039370078758</v>
      </c>
    </row>
    <row r="143" spans="1:26" ht="18" customHeight="1" x14ac:dyDescent="0.25">
      <c r="A143" s="41">
        <v>110</v>
      </c>
      <c r="B143" s="60" t="s">
        <v>173</v>
      </c>
      <c r="C143" s="51">
        <v>90</v>
      </c>
      <c r="D143" s="19">
        <v>34.369999999999997</v>
      </c>
      <c r="E143" s="28">
        <v>9.0299999999999994</v>
      </c>
      <c r="F143" s="28">
        <v>8.73</v>
      </c>
      <c r="G143" s="28">
        <v>18.7</v>
      </c>
      <c r="H143" s="28">
        <v>188.34</v>
      </c>
      <c r="I143" s="216"/>
      <c r="J143" s="216"/>
      <c r="K143" s="180">
        <v>13.35</v>
      </c>
      <c r="L143" s="201">
        <f t="shared" si="31"/>
        <v>1.5745318352059923</v>
      </c>
    </row>
    <row r="144" spans="1:26" ht="18" customHeight="1" x14ac:dyDescent="0.25">
      <c r="A144" s="59">
        <v>146</v>
      </c>
      <c r="B144" s="18" t="s">
        <v>174</v>
      </c>
      <c r="C144" s="52">
        <v>150</v>
      </c>
      <c r="D144" s="37">
        <v>22.46</v>
      </c>
      <c r="E144" s="17">
        <v>4.75</v>
      </c>
      <c r="F144" s="17">
        <v>8.370000000000001</v>
      </c>
      <c r="G144" s="17">
        <v>25.06</v>
      </c>
      <c r="H144" s="87">
        <v>193.42</v>
      </c>
      <c r="I144" s="221"/>
      <c r="J144" s="221"/>
      <c r="K144" s="180">
        <v>13.49</v>
      </c>
      <c r="L144" s="201">
        <f t="shared" si="31"/>
        <v>0.66493699036323206</v>
      </c>
      <c r="M144" s="180" t="s">
        <v>178</v>
      </c>
      <c r="N144" s="11"/>
    </row>
    <row r="145" spans="1:17" ht="18" customHeight="1" x14ac:dyDescent="0.25">
      <c r="A145" s="41">
        <v>300</v>
      </c>
      <c r="B145" s="23" t="s">
        <v>26</v>
      </c>
      <c r="C145" s="51">
        <v>200</v>
      </c>
      <c r="D145" s="19">
        <v>4.03</v>
      </c>
      <c r="E145" s="4">
        <v>0.1</v>
      </c>
      <c r="F145" s="4">
        <v>0</v>
      </c>
      <c r="G145" s="4">
        <v>20.2</v>
      </c>
      <c r="H145" s="4">
        <v>81.2</v>
      </c>
      <c r="I145" s="212"/>
      <c r="J145" s="212"/>
      <c r="K145" s="180">
        <v>2.65</v>
      </c>
      <c r="L145" s="201">
        <f t="shared" si="31"/>
        <v>0.52075471698113218</v>
      </c>
      <c r="M145" s="11"/>
      <c r="N145" s="11"/>
    </row>
    <row r="146" spans="1:17" ht="18" customHeight="1" x14ac:dyDescent="0.25">
      <c r="A146" s="44" t="s">
        <v>38</v>
      </c>
      <c r="B146" s="4" t="s">
        <v>5</v>
      </c>
      <c r="C146" s="46">
        <v>60</v>
      </c>
      <c r="D146" s="37">
        <f>D130*2</f>
        <v>5.84</v>
      </c>
      <c r="E146" s="2">
        <v>3.3000000000000003</v>
      </c>
      <c r="F146" s="47">
        <v>0.6</v>
      </c>
      <c r="G146" s="2">
        <v>16.7</v>
      </c>
      <c r="H146" s="2">
        <v>85.399999999999991</v>
      </c>
      <c r="I146" s="217"/>
      <c r="J146" s="217"/>
      <c r="K146" s="11">
        <f>K130*2</f>
        <v>3.66</v>
      </c>
      <c r="L146" s="201">
        <f t="shared" si="31"/>
        <v>0.59562841530054644</v>
      </c>
      <c r="M146" s="11"/>
      <c r="N146" s="11"/>
    </row>
    <row r="147" spans="1:17" ht="18" customHeight="1" x14ac:dyDescent="0.25">
      <c r="A147" s="41"/>
      <c r="B147" s="9" t="s">
        <v>20</v>
      </c>
      <c r="C147" s="45">
        <f t="shared" ref="C147:H147" si="32">SUM(C142:C146)</f>
        <v>700</v>
      </c>
      <c r="D147" s="33">
        <f>SUM(D142:D146)</f>
        <v>78.110000000000014</v>
      </c>
      <c r="E147" s="33">
        <f t="shared" si="32"/>
        <v>23.1</v>
      </c>
      <c r="F147" s="33">
        <f t="shared" si="32"/>
        <v>23.700000000000003</v>
      </c>
      <c r="G147" s="33">
        <f t="shared" si="32"/>
        <v>100.5</v>
      </c>
      <c r="H147" s="33">
        <f t="shared" si="32"/>
        <v>705</v>
      </c>
      <c r="I147" s="34"/>
      <c r="J147" s="34"/>
      <c r="K147" s="11"/>
      <c r="L147" s="11"/>
      <c r="M147" s="11"/>
      <c r="N147" s="11"/>
    </row>
    <row r="148" spans="1:17" ht="18" customHeight="1" x14ac:dyDescent="0.25">
      <c r="A148" s="41"/>
      <c r="B148" s="9"/>
      <c r="C148" s="45"/>
      <c r="D148" s="33">
        <f>D140+D147</f>
        <v>176</v>
      </c>
      <c r="E148" s="33">
        <f>E140+E147</f>
        <v>38.5</v>
      </c>
      <c r="F148" s="33">
        <f>F140+F147</f>
        <v>39.5</v>
      </c>
      <c r="G148" s="33">
        <f>G140+G147</f>
        <v>167.5</v>
      </c>
      <c r="H148" s="33">
        <f>H140+H147</f>
        <v>1175</v>
      </c>
      <c r="I148" s="34">
        <v>176</v>
      </c>
      <c r="J148" s="34">
        <f>D148-I148</f>
        <v>0</v>
      </c>
      <c r="K148" s="11"/>
      <c r="L148" s="11"/>
      <c r="M148" s="11"/>
      <c r="N148" s="11"/>
      <c r="Q148" s="237"/>
    </row>
    <row r="149" spans="1:17" ht="18" customHeight="1" x14ac:dyDescent="0.2">
      <c r="A149" s="331" t="s">
        <v>52</v>
      </c>
      <c r="B149" s="332"/>
      <c r="C149" s="203"/>
      <c r="D149" s="21"/>
      <c r="E149" s="34"/>
      <c r="F149" s="34"/>
      <c r="G149" s="34"/>
      <c r="H149" s="34"/>
      <c r="I149" s="34"/>
      <c r="J149" s="34"/>
      <c r="K149" s="11"/>
      <c r="L149" s="11"/>
      <c r="M149" s="11"/>
      <c r="N149" s="11"/>
    </row>
    <row r="150" spans="1:17" ht="18" customHeight="1" x14ac:dyDescent="0.2">
      <c r="A150" s="330" t="s">
        <v>12</v>
      </c>
      <c r="B150" s="330"/>
      <c r="C150" s="204"/>
      <c r="D150" s="34"/>
      <c r="E150" s="179"/>
      <c r="F150" s="179"/>
      <c r="G150" s="179"/>
      <c r="H150" s="179"/>
      <c r="I150" s="179"/>
      <c r="J150" s="179"/>
      <c r="K150" s="11"/>
      <c r="L150" s="11"/>
      <c r="M150" s="11"/>
      <c r="N150" s="11"/>
    </row>
    <row r="151" spans="1:17" ht="18" customHeight="1" x14ac:dyDescent="0.25">
      <c r="A151" s="59">
        <v>227</v>
      </c>
      <c r="B151" s="1" t="s">
        <v>58</v>
      </c>
      <c r="C151" s="52">
        <v>150</v>
      </c>
      <c r="D151" s="19">
        <v>19.25</v>
      </c>
      <c r="E151" s="28">
        <v>7.1253333333333337</v>
      </c>
      <c r="F151" s="28">
        <v>7.69</v>
      </c>
      <c r="G151" s="28">
        <v>24.578000000000003</v>
      </c>
      <c r="H151" s="28">
        <v>193.35000000000002</v>
      </c>
      <c r="I151" s="216"/>
      <c r="J151" s="216"/>
      <c r="K151" s="180">
        <v>3.96</v>
      </c>
      <c r="L151" s="201">
        <f t="shared" ref="L151:L154" si="33">D151/K151-1</f>
        <v>3.8611111111111107</v>
      </c>
      <c r="M151" s="11"/>
      <c r="N151" s="11"/>
    </row>
    <row r="152" spans="1:17" ht="18" customHeight="1" x14ac:dyDescent="0.25">
      <c r="A152" s="41">
        <v>136</v>
      </c>
      <c r="B152" s="4" t="s">
        <v>90</v>
      </c>
      <c r="C152" s="46">
        <v>90</v>
      </c>
      <c r="D152" s="37">
        <f>D120/100*90</f>
        <v>40.544999999999995</v>
      </c>
      <c r="E152" s="19">
        <v>4.7300000000000004</v>
      </c>
      <c r="F152" s="19">
        <v>8.43</v>
      </c>
      <c r="G152" s="19">
        <v>4.9000000000000004</v>
      </c>
      <c r="H152" s="19">
        <v>112.62</v>
      </c>
      <c r="I152" s="213"/>
      <c r="J152" s="213"/>
      <c r="K152" s="180">
        <v>16.09</v>
      </c>
      <c r="L152" s="201">
        <f t="shared" si="33"/>
        <v>1.5198881292728399</v>
      </c>
      <c r="M152" s="11"/>
      <c r="N152" s="11"/>
    </row>
    <row r="153" spans="1:17" ht="18" customHeight="1" x14ac:dyDescent="0.25">
      <c r="A153" s="41">
        <v>300</v>
      </c>
      <c r="B153" s="23" t="s">
        <v>26</v>
      </c>
      <c r="C153" s="51">
        <v>200</v>
      </c>
      <c r="D153" s="19">
        <v>4.03</v>
      </c>
      <c r="E153" s="4">
        <v>0.1</v>
      </c>
      <c r="F153" s="4">
        <v>0</v>
      </c>
      <c r="G153" s="4">
        <v>20.2</v>
      </c>
      <c r="H153" s="4">
        <v>81.2</v>
      </c>
      <c r="I153" s="212"/>
      <c r="J153" s="212"/>
      <c r="K153" s="180">
        <v>2.65</v>
      </c>
      <c r="L153" s="201">
        <f t="shared" si="33"/>
        <v>0.52075471698113218</v>
      </c>
      <c r="M153" s="11"/>
      <c r="N153" s="11"/>
    </row>
    <row r="154" spans="1:17" ht="18" customHeight="1" x14ac:dyDescent="0.25">
      <c r="A154" s="41">
        <v>289</v>
      </c>
      <c r="B154" s="13" t="s">
        <v>211</v>
      </c>
      <c r="C154" s="52">
        <v>60</v>
      </c>
      <c r="D154" s="37">
        <f>14.33+0.44</f>
        <v>14.77</v>
      </c>
      <c r="E154" s="17">
        <v>3.444</v>
      </c>
      <c r="F154" s="17">
        <v>0.08</v>
      </c>
      <c r="G154" s="17">
        <v>17.317999999999998</v>
      </c>
      <c r="H154" s="17">
        <v>82.83</v>
      </c>
      <c r="I154" s="214"/>
      <c r="J154" s="214"/>
      <c r="K154" s="11">
        <f>3.26/50*60</f>
        <v>3.9119999999999995</v>
      </c>
      <c r="L154" s="201">
        <f t="shared" si="33"/>
        <v>2.7755623721881393</v>
      </c>
      <c r="M154" s="11"/>
      <c r="N154" s="11"/>
    </row>
    <row r="155" spans="1:17" ht="18" customHeight="1" x14ac:dyDescent="0.25">
      <c r="A155" s="206"/>
      <c r="B155" s="9" t="s">
        <v>20</v>
      </c>
      <c r="C155" s="45">
        <f t="shared" ref="C155:H155" si="34">SUM(C151:C154)</f>
        <v>500</v>
      </c>
      <c r="D155" s="33">
        <f>SUM(D151:D154)</f>
        <v>78.594999999999999</v>
      </c>
      <c r="E155" s="33">
        <f t="shared" si="34"/>
        <v>15.399333333333335</v>
      </c>
      <c r="F155" s="33">
        <f t="shared" si="34"/>
        <v>16.2</v>
      </c>
      <c r="G155" s="33">
        <f t="shared" si="34"/>
        <v>66.995999999999995</v>
      </c>
      <c r="H155" s="33">
        <f t="shared" si="34"/>
        <v>470</v>
      </c>
      <c r="I155" s="34"/>
      <c r="J155" s="34"/>
      <c r="K155" s="11"/>
      <c r="L155" s="201"/>
      <c r="M155" s="11"/>
      <c r="N155" s="11"/>
    </row>
    <row r="156" spans="1:17" ht="18" customHeight="1" x14ac:dyDescent="0.2">
      <c r="A156" s="333" t="s">
        <v>11</v>
      </c>
      <c r="B156" s="334"/>
      <c r="C156" s="49"/>
      <c r="D156" s="34"/>
      <c r="E156" s="179"/>
      <c r="F156" s="179"/>
      <c r="G156" s="179"/>
      <c r="H156" s="179"/>
      <c r="I156" s="179"/>
      <c r="J156" s="179"/>
      <c r="K156" s="11"/>
      <c r="L156" s="201"/>
      <c r="M156" s="11"/>
      <c r="N156" s="11"/>
    </row>
    <row r="157" spans="1:17" ht="18" customHeight="1" x14ac:dyDescent="0.25">
      <c r="A157" s="41">
        <v>55</v>
      </c>
      <c r="B157" s="18" t="s">
        <v>191</v>
      </c>
      <c r="C157" s="58">
        <v>230</v>
      </c>
      <c r="D157" s="35">
        <v>19.77</v>
      </c>
      <c r="E157" s="12">
        <v>8.25</v>
      </c>
      <c r="F157" s="12">
        <v>9.6999999999999993</v>
      </c>
      <c r="G157" s="12">
        <v>31.8</v>
      </c>
      <c r="H157" s="12">
        <v>247.5</v>
      </c>
      <c r="I157" s="229"/>
      <c r="J157" s="229"/>
      <c r="K157" s="180">
        <v>7.9375</v>
      </c>
      <c r="L157" s="201">
        <v>0.79685039370078758</v>
      </c>
      <c r="M157" s="11"/>
      <c r="N157" s="11"/>
    </row>
    <row r="158" spans="1:17" ht="18" customHeight="1" x14ac:dyDescent="0.25">
      <c r="A158" s="41">
        <v>259</v>
      </c>
      <c r="B158" s="23" t="s">
        <v>164</v>
      </c>
      <c r="C158" s="51">
        <v>220</v>
      </c>
      <c r="D158" s="19">
        <f>94.94/220*150+8.13+3.33-5.51</f>
        <v>70.681818181818159</v>
      </c>
      <c r="E158" s="61">
        <f>13.62-0.85</f>
        <v>12.77</v>
      </c>
      <c r="F158" s="61">
        <f>15.84-2.2</f>
        <v>13.64</v>
      </c>
      <c r="G158" s="61">
        <f>45.48-7</f>
        <v>38.479999999999997</v>
      </c>
      <c r="H158" s="61">
        <f>376.76-51.7</f>
        <v>325.06</v>
      </c>
      <c r="I158" s="222"/>
      <c r="J158" s="222"/>
      <c r="K158" s="180">
        <v>46.81</v>
      </c>
      <c r="L158" s="201">
        <v>1.028199102755821</v>
      </c>
      <c r="M158" s="11"/>
      <c r="N158" s="11"/>
    </row>
    <row r="159" spans="1:17" ht="18" customHeight="1" x14ac:dyDescent="0.25">
      <c r="A159" s="41">
        <v>300</v>
      </c>
      <c r="B159" s="23" t="s">
        <v>26</v>
      </c>
      <c r="C159" s="51">
        <v>200</v>
      </c>
      <c r="D159" s="19">
        <v>4.03</v>
      </c>
      <c r="E159" s="4">
        <v>0.1</v>
      </c>
      <c r="F159" s="4">
        <v>0</v>
      </c>
      <c r="G159" s="4">
        <v>20.2</v>
      </c>
      <c r="H159" s="4">
        <v>81.2</v>
      </c>
      <c r="I159" s="212"/>
      <c r="J159" s="212"/>
      <c r="K159" s="180">
        <v>2.65</v>
      </c>
      <c r="L159" s="201">
        <v>1.2188679245283018</v>
      </c>
      <c r="M159" s="11"/>
      <c r="N159" s="11"/>
    </row>
    <row r="160" spans="1:17" ht="18" customHeight="1" x14ac:dyDescent="0.25">
      <c r="A160" s="44" t="s">
        <v>38</v>
      </c>
      <c r="B160" s="4" t="s">
        <v>5</v>
      </c>
      <c r="C160" s="56">
        <v>50</v>
      </c>
      <c r="D160" s="37">
        <v>2.92</v>
      </c>
      <c r="E160" s="2">
        <v>1.98</v>
      </c>
      <c r="F160" s="47">
        <v>0.36</v>
      </c>
      <c r="G160" s="2">
        <v>10.02</v>
      </c>
      <c r="H160" s="2">
        <v>51.24</v>
      </c>
      <c r="I160" s="217"/>
      <c r="J160" s="217"/>
      <c r="K160" s="180">
        <v>1.83</v>
      </c>
      <c r="L160" s="201">
        <v>0.59562841530054644</v>
      </c>
      <c r="M160" s="11"/>
      <c r="N160" s="11"/>
    </row>
    <row r="161" spans="1:42" ht="15.75" x14ac:dyDescent="0.25">
      <c r="A161" s="43"/>
      <c r="B161" s="9" t="s">
        <v>20</v>
      </c>
      <c r="C161" s="45">
        <f>SUM(C157:C160)</f>
        <v>700</v>
      </c>
      <c r="D161" s="33">
        <f>SUM(D157:D160)</f>
        <v>97.401818181818157</v>
      </c>
      <c r="E161" s="33">
        <f>SUM(E157:E160)</f>
        <v>23.1</v>
      </c>
      <c r="F161" s="33">
        <f t="shared" ref="F161:H161" si="35">SUM(F157:F160)</f>
        <v>23.7</v>
      </c>
      <c r="G161" s="33">
        <f t="shared" si="35"/>
        <v>100.5</v>
      </c>
      <c r="H161" s="33">
        <f t="shared" si="35"/>
        <v>705</v>
      </c>
      <c r="I161" s="34"/>
      <c r="J161" s="34"/>
      <c r="L161" s="201"/>
      <c r="M161" s="11"/>
      <c r="N161" s="11">
        <f>M162/L162-1</f>
        <v>0.82288119837867146</v>
      </c>
    </row>
    <row r="162" spans="1:42" ht="15.75" x14ac:dyDescent="0.25">
      <c r="A162" s="43"/>
      <c r="B162" s="3" t="s">
        <v>9</v>
      </c>
      <c r="C162" s="45"/>
      <c r="D162" s="33">
        <f>D161+D155</f>
        <v>175.99681818181816</v>
      </c>
      <c r="E162" s="33">
        <f t="shared" ref="E162:H162" si="36">E161+E155</f>
        <v>38.49933333333334</v>
      </c>
      <c r="F162" s="33">
        <f t="shared" si="36"/>
        <v>39.9</v>
      </c>
      <c r="G162" s="33">
        <f t="shared" si="36"/>
        <v>167.49599999999998</v>
      </c>
      <c r="H162" s="33">
        <f t="shared" si="36"/>
        <v>1175</v>
      </c>
      <c r="I162" s="34">
        <v>176</v>
      </c>
      <c r="J162" s="34">
        <f>D162-I162</f>
        <v>-3.1818181818437097E-3</v>
      </c>
      <c r="K162" s="180">
        <f>SUM(K10:K161)</f>
        <v>965.50450000000001</v>
      </c>
      <c r="L162" s="180">
        <f>K162/10</f>
        <v>96.550449999999998</v>
      </c>
      <c r="M162" s="11">
        <f>151+25</f>
        <v>176</v>
      </c>
      <c r="N162" s="209">
        <f>M162/L162-1</f>
        <v>0.82288119837867146</v>
      </c>
      <c r="Q162" s="237"/>
      <c r="AP162" s="237"/>
    </row>
    <row r="163" spans="1:42" ht="15.75" x14ac:dyDescent="0.2">
      <c r="A163" s="63"/>
      <c r="B163" s="335" t="s">
        <v>46</v>
      </c>
      <c r="C163" s="335"/>
      <c r="D163" s="6"/>
      <c r="E163" s="6">
        <f>E23+E38+E54+E71+E87+E102+E117+E132+E148+E162</f>
        <v>385.11774594429141</v>
      </c>
      <c r="F163" s="6">
        <f>F23+F38+F54+F71+F87+F102+F117+F132+F148+F162</f>
        <v>395.40894888276688</v>
      </c>
      <c r="G163" s="6">
        <f>G23+G38+G54+G71+G87+G102+G117+G132+G148+G162</f>
        <v>1673.9877324762779</v>
      </c>
      <c r="H163" s="6">
        <f>H23+H38+H54+H71+H87+H102+H117+H132+H148+H162</f>
        <v>11749.997786960515</v>
      </c>
      <c r="I163" s="179"/>
      <c r="J163" s="179"/>
      <c r="M163" s="11"/>
      <c r="N163" s="11"/>
    </row>
    <row r="164" spans="1:42" ht="15.75" x14ac:dyDescent="0.25">
      <c r="A164" s="63"/>
      <c r="B164" s="329" t="s">
        <v>47</v>
      </c>
      <c r="C164" s="329"/>
      <c r="D164" s="64"/>
      <c r="E164" s="6">
        <f>E163/10</f>
        <v>38.511774594429141</v>
      </c>
      <c r="F164" s="6">
        <f>F163/10</f>
        <v>39.540894888276689</v>
      </c>
      <c r="G164" s="6">
        <f>G163/10</f>
        <v>167.39877324762779</v>
      </c>
      <c r="H164" s="6">
        <f>H163/10</f>
        <v>1174.9997786960516</v>
      </c>
      <c r="I164" s="179"/>
      <c r="J164" s="179"/>
      <c r="M164" s="11"/>
      <c r="N164" s="11"/>
    </row>
    <row r="165" spans="1:42" ht="15.75" x14ac:dyDescent="0.2">
      <c r="E165" s="34"/>
      <c r="F165" s="34"/>
      <c r="G165" s="34"/>
      <c r="H165" s="34"/>
      <c r="I165" s="34"/>
      <c r="J165" s="34"/>
      <c r="M165" s="11"/>
      <c r="N165" s="11"/>
    </row>
    <row r="166" spans="1:42" ht="15.75" x14ac:dyDescent="0.2">
      <c r="E166" s="179"/>
      <c r="F166" s="179"/>
      <c r="G166" s="179"/>
      <c r="H166" s="179"/>
      <c r="I166" s="179">
        <f t="shared" ref="I166:AN166" si="37">I161-I165</f>
        <v>0</v>
      </c>
      <c r="J166" s="179">
        <f t="shared" si="37"/>
        <v>0</v>
      </c>
      <c r="K166" s="179">
        <f t="shared" si="37"/>
        <v>0</v>
      </c>
      <c r="L166" s="179">
        <f t="shared" si="37"/>
        <v>0</v>
      </c>
      <c r="M166" s="179">
        <f t="shared" si="37"/>
        <v>0</v>
      </c>
      <c r="N166" s="179">
        <f t="shared" si="37"/>
        <v>0.82288119837867146</v>
      </c>
      <c r="O166" s="179">
        <f t="shared" si="37"/>
        <v>0</v>
      </c>
      <c r="P166" s="179">
        <f t="shared" si="37"/>
        <v>0</v>
      </c>
      <c r="Q166" s="179">
        <f t="shared" si="37"/>
        <v>0</v>
      </c>
      <c r="R166" s="179">
        <f t="shared" si="37"/>
        <v>0</v>
      </c>
      <c r="S166" s="179">
        <f t="shared" si="37"/>
        <v>0</v>
      </c>
      <c r="T166" s="179">
        <f t="shared" si="37"/>
        <v>0</v>
      </c>
      <c r="U166" s="179">
        <f t="shared" si="37"/>
        <v>0</v>
      </c>
      <c r="V166" s="179">
        <f t="shared" si="37"/>
        <v>0</v>
      </c>
      <c r="W166" s="179">
        <f t="shared" si="37"/>
        <v>0</v>
      </c>
      <c r="X166" s="179">
        <f t="shared" si="37"/>
        <v>0</v>
      </c>
      <c r="Y166" s="179">
        <f t="shared" si="37"/>
        <v>0</v>
      </c>
      <c r="Z166" s="179">
        <f t="shared" si="37"/>
        <v>0</v>
      </c>
      <c r="AA166" s="179">
        <f t="shared" si="37"/>
        <v>0</v>
      </c>
      <c r="AB166" s="179">
        <f t="shared" si="37"/>
        <v>0</v>
      </c>
      <c r="AC166" s="179">
        <f t="shared" si="37"/>
        <v>0</v>
      </c>
      <c r="AD166" s="179">
        <f t="shared" si="37"/>
        <v>0</v>
      </c>
      <c r="AE166" s="179">
        <f t="shared" si="37"/>
        <v>0</v>
      </c>
      <c r="AF166" s="179">
        <f t="shared" si="37"/>
        <v>0</v>
      </c>
      <c r="AG166" s="179">
        <f t="shared" si="37"/>
        <v>0</v>
      </c>
      <c r="AH166" s="179">
        <f t="shared" si="37"/>
        <v>0</v>
      </c>
      <c r="AI166" s="179">
        <f t="shared" si="37"/>
        <v>0</v>
      </c>
      <c r="AJ166" s="179">
        <f t="shared" si="37"/>
        <v>0</v>
      </c>
      <c r="AK166" s="179">
        <f t="shared" si="37"/>
        <v>0</v>
      </c>
      <c r="AL166" s="179">
        <f t="shared" si="37"/>
        <v>0</v>
      </c>
      <c r="AM166" s="179">
        <f t="shared" si="37"/>
        <v>0</v>
      </c>
      <c r="AN166" s="179">
        <f t="shared" si="37"/>
        <v>0</v>
      </c>
    </row>
  </sheetData>
  <mergeCells count="42">
    <mergeCell ref="B164:C164"/>
    <mergeCell ref="A110:B110"/>
    <mergeCell ref="A118:B118"/>
    <mergeCell ref="A119:B119"/>
    <mergeCell ref="A125:B125"/>
    <mergeCell ref="A133:B133"/>
    <mergeCell ref="A134:B134"/>
    <mergeCell ref="A141:B141"/>
    <mergeCell ref="A149:B149"/>
    <mergeCell ref="A150:B150"/>
    <mergeCell ref="A156:B156"/>
    <mergeCell ref="B163:C163"/>
    <mergeCell ref="A104:B104"/>
    <mergeCell ref="A47:B47"/>
    <mergeCell ref="A55:B55"/>
    <mergeCell ref="A56:B56"/>
    <mergeCell ref="A64:B64"/>
    <mergeCell ref="A72:B72"/>
    <mergeCell ref="A73:B73"/>
    <mergeCell ref="A79:B79"/>
    <mergeCell ref="A88:B88"/>
    <mergeCell ref="A89:B89"/>
    <mergeCell ref="A95:B95"/>
    <mergeCell ref="A103:B103"/>
    <mergeCell ref="A40:B40"/>
    <mergeCell ref="H3:H7"/>
    <mergeCell ref="E5:E7"/>
    <mergeCell ref="F5:F7"/>
    <mergeCell ref="G5:G7"/>
    <mergeCell ref="A8:B8"/>
    <mergeCell ref="A9:B9"/>
    <mergeCell ref="A16:B16"/>
    <mergeCell ref="A24:B24"/>
    <mergeCell ref="A25:B25"/>
    <mergeCell ref="A31:B31"/>
    <mergeCell ref="A39:B39"/>
    <mergeCell ref="B1:G2"/>
    <mergeCell ref="A3:A7"/>
    <mergeCell ref="B3:B7"/>
    <mergeCell ref="C3:C7"/>
    <mergeCell ref="D3:D7"/>
    <mergeCell ref="E3:G4"/>
  </mergeCells>
  <pageMargins left="0.7" right="0.7" top="0.75" bottom="0.75" header="0.3" footer="0.3"/>
  <pageSetup paperSize="9" fitToHeight="0" orientation="landscape" horizontalDpi="0" verticalDpi="0" r:id="rId1"/>
  <rowBreaks count="9" manualBreakCount="9">
    <brk id="23" max="16383" man="1"/>
    <brk id="38" max="16383" man="1"/>
    <brk id="54" max="16383" man="1"/>
    <brk id="71" max="16383" man="1"/>
    <brk id="87" max="16383" man="1"/>
    <brk id="102" max="16383" man="1"/>
    <brk id="117" max="16383" man="1"/>
    <brk id="132" max="16383" man="1"/>
    <brk id="1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topLeftCell="A7" workbookViewId="0">
      <selection activeCell="H23" sqref="H23"/>
    </sheetView>
  </sheetViews>
  <sheetFormatPr defaultRowHeight="12.75" x14ac:dyDescent="0.2"/>
  <cols>
    <col min="2" max="2" width="57" bestFit="1" customWidth="1"/>
    <col min="4" max="4" width="4.42578125" bestFit="1" customWidth="1"/>
    <col min="5" max="5" width="42.7109375" customWidth="1"/>
    <col min="6" max="6" width="19.140625" customWidth="1"/>
    <col min="8" max="8" width="45.7109375" bestFit="1" customWidth="1"/>
  </cols>
  <sheetData>
    <row r="2" spans="1:9" ht="15.75" customHeight="1" x14ac:dyDescent="0.2">
      <c r="A2" s="331" t="s">
        <v>15</v>
      </c>
      <c r="B2" s="332"/>
      <c r="C2" s="317"/>
      <c r="D2" s="331" t="s">
        <v>16</v>
      </c>
      <c r="E2" s="332"/>
      <c r="F2" s="317"/>
      <c r="G2" s="332" t="s">
        <v>17</v>
      </c>
      <c r="H2" s="332"/>
      <c r="I2" s="317"/>
    </row>
    <row r="3" spans="1:9" ht="15.75" customHeight="1" x14ac:dyDescent="0.2">
      <c r="A3" s="336" t="s">
        <v>10</v>
      </c>
      <c r="B3" s="336"/>
      <c r="C3" s="319"/>
      <c r="D3" s="330" t="s">
        <v>10</v>
      </c>
      <c r="E3" s="330"/>
      <c r="F3" s="316"/>
      <c r="G3" s="330" t="s">
        <v>12</v>
      </c>
      <c r="H3" s="330"/>
      <c r="I3" s="316"/>
    </row>
    <row r="4" spans="1:9" ht="31.5" x14ac:dyDescent="0.25">
      <c r="A4" s="41">
        <v>193</v>
      </c>
      <c r="B4" s="25" t="s">
        <v>136</v>
      </c>
      <c r="C4" s="46">
        <v>200</v>
      </c>
      <c r="D4" s="41">
        <v>241</v>
      </c>
      <c r="E4" s="25" t="s">
        <v>194</v>
      </c>
      <c r="F4" s="46">
        <v>110</v>
      </c>
      <c r="G4" s="41">
        <v>208</v>
      </c>
      <c r="H4" s="4" t="s">
        <v>130</v>
      </c>
      <c r="I4" s="46">
        <v>140</v>
      </c>
    </row>
    <row r="5" spans="1:9" ht="15.75" x14ac:dyDescent="0.25">
      <c r="A5" s="41">
        <v>300</v>
      </c>
      <c r="B5" s="23" t="s">
        <v>26</v>
      </c>
      <c r="C5" s="51">
        <v>200</v>
      </c>
      <c r="D5" s="41" t="s">
        <v>36</v>
      </c>
      <c r="E5" s="13" t="s">
        <v>33</v>
      </c>
      <c r="F5" s="52">
        <v>90</v>
      </c>
      <c r="G5" s="41">
        <v>300</v>
      </c>
      <c r="H5" s="23" t="s">
        <v>26</v>
      </c>
      <c r="I5" s="51">
        <v>200</v>
      </c>
    </row>
    <row r="6" spans="1:9" ht="15.75" x14ac:dyDescent="0.25">
      <c r="A6" s="41" t="s">
        <v>36</v>
      </c>
      <c r="B6" s="23" t="s">
        <v>118</v>
      </c>
      <c r="C6" s="51">
        <v>10</v>
      </c>
      <c r="D6" s="41">
        <v>300</v>
      </c>
      <c r="E6" s="23" t="s">
        <v>26</v>
      </c>
      <c r="F6" s="46">
        <v>200</v>
      </c>
      <c r="G6" s="41" t="s">
        <v>36</v>
      </c>
      <c r="H6" s="23" t="s">
        <v>118</v>
      </c>
      <c r="I6" s="51">
        <v>10</v>
      </c>
    </row>
    <row r="7" spans="1:9" ht="15.75" x14ac:dyDescent="0.25">
      <c r="A7" s="41" t="s">
        <v>36</v>
      </c>
      <c r="B7" s="13" t="s">
        <v>159</v>
      </c>
      <c r="C7" s="52">
        <v>40</v>
      </c>
      <c r="D7" s="41">
        <v>289</v>
      </c>
      <c r="E7" s="13" t="s">
        <v>137</v>
      </c>
      <c r="F7" s="46">
        <v>100</v>
      </c>
      <c r="G7" s="41" t="s">
        <v>36</v>
      </c>
      <c r="H7" s="13" t="s">
        <v>33</v>
      </c>
      <c r="I7" s="52">
        <v>50</v>
      </c>
    </row>
    <row r="8" spans="1:9" ht="15.75" x14ac:dyDescent="0.25">
      <c r="A8" s="44" t="s">
        <v>37</v>
      </c>
      <c r="B8" s="4" t="s">
        <v>193</v>
      </c>
      <c r="C8" s="46">
        <v>50</v>
      </c>
      <c r="D8" s="43"/>
      <c r="E8" s="9" t="s">
        <v>20</v>
      </c>
      <c r="F8" s="45">
        <f t="shared" ref="F8" si="0">SUM(F4:F7)</f>
        <v>500</v>
      </c>
      <c r="G8" s="41" t="s">
        <v>36</v>
      </c>
      <c r="H8" s="4" t="s">
        <v>161</v>
      </c>
      <c r="I8" s="46">
        <v>100</v>
      </c>
    </row>
    <row r="9" spans="1:9" ht="15.75" x14ac:dyDescent="0.25">
      <c r="A9" s="315"/>
      <c r="B9" s="9" t="s">
        <v>20</v>
      </c>
      <c r="C9" s="45">
        <f t="shared" ref="C9" si="1">SUM(C4:C8)</f>
        <v>500</v>
      </c>
      <c r="D9" s="138"/>
      <c r="E9" s="88"/>
      <c r="F9" s="323"/>
      <c r="G9" s="315"/>
      <c r="H9" s="9" t="s">
        <v>20</v>
      </c>
      <c r="I9" s="45">
        <f t="shared" ref="I9" si="2">SUM(I4:I8)</f>
        <v>500</v>
      </c>
    </row>
    <row r="10" spans="1:9" ht="15.75" x14ac:dyDescent="0.2">
      <c r="A10" s="333" t="s">
        <v>11</v>
      </c>
      <c r="B10" s="334"/>
      <c r="C10" s="49"/>
      <c r="D10" s="334" t="s">
        <v>11</v>
      </c>
      <c r="E10" s="334"/>
      <c r="F10" s="318"/>
      <c r="G10" s="333" t="s">
        <v>11</v>
      </c>
      <c r="H10" s="334"/>
      <c r="I10" s="49"/>
    </row>
    <row r="11" spans="1:9" ht="15.75" x14ac:dyDescent="0.25">
      <c r="A11" s="41">
        <v>55</v>
      </c>
      <c r="B11" s="18" t="s">
        <v>191</v>
      </c>
      <c r="C11" s="58">
        <v>230</v>
      </c>
      <c r="D11" s="41">
        <v>62</v>
      </c>
      <c r="E11" s="1" t="s">
        <v>160</v>
      </c>
      <c r="F11" s="321">
        <v>230</v>
      </c>
      <c r="G11" s="41">
        <v>55</v>
      </c>
      <c r="H11" s="13" t="s">
        <v>155</v>
      </c>
      <c r="I11" s="52">
        <v>230</v>
      </c>
    </row>
    <row r="12" spans="1:9" ht="15.75" x14ac:dyDescent="0.25">
      <c r="A12" s="41">
        <v>136</v>
      </c>
      <c r="B12" s="23" t="s">
        <v>153</v>
      </c>
      <c r="C12" s="52">
        <v>90</v>
      </c>
      <c r="D12" s="100">
        <v>97</v>
      </c>
      <c r="E12" s="1" t="s">
        <v>185</v>
      </c>
      <c r="F12" s="321">
        <v>90</v>
      </c>
      <c r="G12" s="41">
        <v>158</v>
      </c>
      <c r="H12" s="23" t="s">
        <v>162</v>
      </c>
      <c r="I12" s="52">
        <v>220</v>
      </c>
    </row>
    <row r="13" spans="1:9" ht="15.75" x14ac:dyDescent="0.25">
      <c r="A13" s="41">
        <v>227</v>
      </c>
      <c r="B13" s="25" t="s">
        <v>58</v>
      </c>
      <c r="C13" s="27">
        <v>150</v>
      </c>
      <c r="D13" s="41">
        <v>227</v>
      </c>
      <c r="E13" s="29" t="s">
        <v>34</v>
      </c>
      <c r="F13" s="57">
        <v>150</v>
      </c>
      <c r="G13" s="44" t="s">
        <v>36</v>
      </c>
      <c r="H13" s="23" t="s">
        <v>199</v>
      </c>
      <c r="I13" s="53">
        <v>10</v>
      </c>
    </row>
    <row r="14" spans="1:9" ht="15.75" x14ac:dyDescent="0.25">
      <c r="A14" s="41">
        <v>300</v>
      </c>
      <c r="B14" s="176" t="s">
        <v>29</v>
      </c>
      <c r="C14" s="46">
        <v>200</v>
      </c>
      <c r="D14" s="41">
        <v>300</v>
      </c>
      <c r="E14" s="23" t="s">
        <v>26</v>
      </c>
      <c r="F14" s="51">
        <v>200</v>
      </c>
      <c r="G14" s="41">
        <v>300</v>
      </c>
      <c r="H14" s="23" t="s">
        <v>26</v>
      </c>
      <c r="I14" s="51">
        <v>200</v>
      </c>
    </row>
    <row r="15" spans="1:9" ht="15.75" x14ac:dyDescent="0.25">
      <c r="A15" s="44" t="s">
        <v>38</v>
      </c>
      <c r="B15" s="4" t="s">
        <v>5</v>
      </c>
      <c r="C15" s="46">
        <v>30</v>
      </c>
      <c r="D15" s="44" t="s">
        <v>38</v>
      </c>
      <c r="E15" s="4" t="s">
        <v>5</v>
      </c>
      <c r="F15" s="46">
        <v>30</v>
      </c>
      <c r="G15" s="44" t="s">
        <v>38</v>
      </c>
      <c r="H15" s="4" t="s">
        <v>5</v>
      </c>
      <c r="I15" s="46">
        <v>40</v>
      </c>
    </row>
    <row r="16" spans="1:9" ht="15.75" x14ac:dyDescent="0.25">
      <c r="A16" s="43"/>
      <c r="B16" s="9" t="s">
        <v>20</v>
      </c>
      <c r="C16" s="45">
        <f t="shared" ref="C16" si="3">SUM(C11:C15)</f>
        <v>700</v>
      </c>
      <c r="D16" s="43"/>
      <c r="E16" s="9" t="s">
        <v>20</v>
      </c>
      <c r="F16" s="45">
        <f t="shared" ref="F16" si="4">SUM(F11:F15)</f>
        <v>700</v>
      </c>
      <c r="G16" s="43"/>
      <c r="H16" s="9" t="s">
        <v>20</v>
      </c>
      <c r="I16" s="45">
        <f t="shared" ref="I16" si="5">SUM(I11:I15)</f>
        <v>700</v>
      </c>
    </row>
    <row r="18" spans="1:6" ht="15.75" customHeight="1" x14ac:dyDescent="0.2">
      <c r="A18" s="331" t="s">
        <v>18</v>
      </c>
      <c r="B18" s="332"/>
      <c r="C18" s="317"/>
      <c r="D18" s="331" t="s">
        <v>19</v>
      </c>
      <c r="E18" s="332"/>
      <c r="F18" s="317"/>
    </row>
    <row r="19" spans="1:6" ht="15.75" customHeight="1" x14ac:dyDescent="0.2">
      <c r="A19" s="330" t="s">
        <v>12</v>
      </c>
      <c r="B19" s="330"/>
      <c r="C19" s="316"/>
      <c r="D19" s="330" t="s">
        <v>12</v>
      </c>
      <c r="E19" s="330"/>
      <c r="F19" s="316"/>
    </row>
    <row r="20" spans="1:6" ht="15.75" x14ac:dyDescent="0.25">
      <c r="A20" s="41">
        <v>234</v>
      </c>
      <c r="B20" s="2" t="s">
        <v>23</v>
      </c>
      <c r="C20" s="51">
        <v>100</v>
      </c>
      <c r="D20" s="59">
        <v>110</v>
      </c>
      <c r="E20" s="1" t="s">
        <v>186</v>
      </c>
      <c r="F20" s="321">
        <v>90</v>
      </c>
    </row>
    <row r="21" spans="1:6" ht="15.75" x14ac:dyDescent="0.25">
      <c r="A21" s="41" t="s">
        <v>39</v>
      </c>
      <c r="B21" s="2" t="s">
        <v>163</v>
      </c>
      <c r="C21" s="51">
        <v>30</v>
      </c>
      <c r="D21" s="59">
        <v>227</v>
      </c>
      <c r="E21" s="1" t="s">
        <v>58</v>
      </c>
      <c r="F21" s="52">
        <v>150</v>
      </c>
    </row>
    <row r="22" spans="1:6" ht="15.75" x14ac:dyDescent="0.25">
      <c r="A22" s="41">
        <v>300</v>
      </c>
      <c r="B22" s="23" t="s">
        <v>26</v>
      </c>
      <c r="C22" s="51">
        <v>200</v>
      </c>
      <c r="D22" s="41">
        <v>300</v>
      </c>
      <c r="E22" s="23" t="s">
        <v>26</v>
      </c>
      <c r="F22" s="51">
        <v>200</v>
      </c>
    </row>
    <row r="23" spans="1:6" ht="15.75" customHeight="1" x14ac:dyDescent="0.25">
      <c r="A23" s="41" t="s">
        <v>36</v>
      </c>
      <c r="B23" s="23" t="s">
        <v>118</v>
      </c>
      <c r="C23" s="51">
        <v>10</v>
      </c>
      <c r="D23" s="104" t="s">
        <v>37</v>
      </c>
      <c r="E23" s="4" t="s">
        <v>0</v>
      </c>
      <c r="F23" s="46">
        <v>60</v>
      </c>
    </row>
    <row r="24" spans="1:6" ht="15.75" x14ac:dyDescent="0.25">
      <c r="A24" s="41" t="s">
        <v>36</v>
      </c>
      <c r="B24" s="13" t="s">
        <v>201</v>
      </c>
      <c r="C24" s="52">
        <v>120</v>
      </c>
      <c r="D24" s="43"/>
      <c r="E24" s="9" t="s">
        <v>20</v>
      </c>
      <c r="F24" s="45">
        <f t="shared" ref="F24" si="6">SUM(F20:F23)</f>
        <v>500</v>
      </c>
    </row>
    <row r="25" spans="1:6" ht="15.75" x14ac:dyDescent="0.25">
      <c r="A25" s="104" t="s">
        <v>37</v>
      </c>
      <c r="B25" s="4" t="s">
        <v>0</v>
      </c>
      <c r="C25" s="46">
        <v>40</v>
      </c>
      <c r="D25" s="145"/>
      <c r="E25" s="88"/>
      <c r="F25" s="324"/>
    </row>
    <row r="26" spans="1:6" ht="15.75" customHeight="1" x14ac:dyDescent="0.25">
      <c r="A26" s="43"/>
      <c r="B26" s="9" t="s">
        <v>20</v>
      </c>
      <c r="C26" s="45">
        <f t="shared" ref="C26" si="7">SUM(C20:C25)</f>
        <v>500</v>
      </c>
      <c r="D26" s="333" t="s">
        <v>11</v>
      </c>
      <c r="E26" s="334"/>
      <c r="F26" s="49"/>
    </row>
    <row r="27" spans="1:6" ht="15.75" x14ac:dyDescent="0.25">
      <c r="A27" s="333" t="s">
        <v>11</v>
      </c>
      <c r="B27" s="334"/>
      <c r="C27" s="49"/>
      <c r="D27" s="44" t="s">
        <v>39</v>
      </c>
      <c r="E27" s="23" t="s">
        <v>21</v>
      </c>
      <c r="F27" s="53">
        <v>30</v>
      </c>
    </row>
    <row r="28" spans="1:6" ht="15.75" x14ac:dyDescent="0.25">
      <c r="A28" s="59">
        <v>65</v>
      </c>
      <c r="B28" s="18" t="s">
        <v>30</v>
      </c>
      <c r="C28" s="51">
        <v>220</v>
      </c>
      <c r="D28" s="100">
        <v>56</v>
      </c>
      <c r="E28" s="1" t="s">
        <v>169</v>
      </c>
      <c r="F28" s="58">
        <v>220</v>
      </c>
    </row>
    <row r="29" spans="1:6" ht="15.75" x14ac:dyDescent="0.25">
      <c r="A29" s="41">
        <v>110</v>
      </c>
      <c r="B29" s="60" t="s">
        <v>167</v>
      </c>
      <c r="C29" s="321">
        <v>90</v>
      </c>
      <c r="D29" s="59">
        <v>158</v>
      </c>
      <c r="E29" s="86" t="s">
        <v>138</v>
      </c>
      <c r="F29" s="52">
        <v>90</v>
      </c>
    </row>
    <row r="30" spans="1:6" ht="15.75" x14ac:dyDescent="0.25">
      <c r="A30" s="147">
        <v>227</v>
      </c>
      <c r="B30" s="29" t="s">
        <v>132</v>
      </c>
      <c r="C30" s="321">
        <v>150</v>
      </c>
      <c r="D30" s="41" t="s">
        <v>170</v>
      </c>
      <c r="E30" s="29" t="s">
        <v>171</v>
      </c>
      <c r="F30" s="57">
        <v>150</v>
      </c>
    </row>
    <row r="31" spans="1:6" ht="15.75" x14ac:dyDescent="0.25">
      <c r="A31" s="59">
        <v>300</v>
      </c>
      <c r="B31" s="176" t="s">
        <v>29</v>
      </c>
      <c r="C31" s="46">
        <v>200</v>
      </c>
      <c r="D31" s="59">
        <v>300</v>
      </c>
      <c r="E31" s="176" t="s">
        <v>29</v>
      </c>
      <c r="F31" s="46">
        <v>200</v>
      </c>
    </row>
    <row r="32" spans="1:6" ht="15.75" x14ac:dyDescent="0.25">
      <c r="A32" s="44" t="s">
        <v>38</v>
      </c>
      <c r="B32" s="4" t="s">
        <v>5</v>
      </c>
      <c r="C32" s="46">
        <v>40</v>
      </c>
      <c r="D32" s="44" t="s">
        <v>38</v>
      </c>
      <c r="E32" s="4" t="s">
        <v>5</v>
      </c>
      <c r="F32" s="46">
        <v>30</v>
      </c>
    </row>
    <row r="33" spans="1:6" ht="15.75" x14ac:dyDescent="0.25">
      <c r="A33" s="43"/>
      <c r="B33" s="9" t="s">
        <v>20</v>
      </c>
      <c r="C33" s="45">
        <f>SUM(C28:C32)</f>
        <v>700</v>
      </c>
      <c r="D33" s="41"/>
      <c r="E33" s="9" t="s">
        <v>20</v>
      </c>
      <c r="F33" s="45">
        <f t="shared" ref="F33" si="8">SUM(F27:F32)</f>
        <v>720</v>
      </c>
    </row>
    <row r="34" spans="1:6" ht="15.75" x14ac:dyDescent="0.25">
      <c r="D34" s="41"/>
      <c r="E34" s="9"/>
      <c r="F34" s="45"/>
    </row>
  </sheetData>
  <mergeCells count="15">
    <mergeCell ref="A27:B27"/>
    <mergeCell ref="D18:E18"/>
    <mergeCell ref="D19:E19"/>
    <mergeCell ref="A2:B2"/>
    <mergeCell ref="A3:B3"/>
    <mergeCell ref="A10:B10"/>
    <mergeCell ref="D2:E2"/>
    <mergeCell ref="D3:E3"/>
    <mergeCell ref="D10:E10"/>
    <mergeCell ref="D26:E26"/>
    <mergeCell ref="G2:H2"/>
    <mergeCell ref="G3:H3"/>
    <mergeCell ref="G10:H10"/>
    <mergeCell ref="A18:B18"/>
    <mergeCell ref="A19:B19"/>
  </mergeCells>
  <pageMargins left="0.25" right="0.25" top="0.75" bottom="0.75" header="0.3" footer="0.3"/>
  <pageSetup paperSize="9"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1"/>
  <sheetViews>
    <sheetView workbookViewId="0">
      <selection activeCell="H32" sqref="H32"/>
    </sheetView>
  </sheetViews>
  <sheetFormatPr defaultRowHeight="12.75" x14ac:dyDescent="0.2"/>
  <cols>
    <col min="2" max="2" width="54.7109375" customWidth="1"/>
    <col min="5" max="5" width="35.140625" bestFit="1" customWidth="1"/>
    <col min="8" max="8" width="30.7109375" customWidth="1"/>
  </cols>
  <sheetData>
    <row r="2" spans="1:9" ht="15.75" x14ac:dyDescent="0.2">
      <c r="A2" s="331" t="s">
        <v>66</v>
      </c>
      <c r="B2" s="332"/>
      <c r="C2" s="317"/>
      <c r="D2" s="331" t="s">
        <v>49</v>
      </c>
      <c r="E2" s="332"/>
      <c r="F2" s="317"/>
      <c r="G2" s="331" t="s">
        <v>50</v>
      </c>
      <c r="H2" s="332"/>
      <c r="I2" s="317"/>
    </row>
    <row r="3" spans="1:9" ht="15.75" x14ac:dyDescent="0.2">
      <c r="A3" s="330" t="s">
        <v>12</v>
      </c>
      <c r="B3" s="330"/>
      <c r="C3" s="316"/>
      <c r="D3" s="330" t="s">
        <v>10</v>
      </c>
      <c r="E3" s="330"/>
      <c r="F3" s="316"/>
      <c r="G3" s="330" t="s">
        <v>12</v>
      </c>
      <c r="H3" s="330"/>
      <c r="I3" s="316"/>
    </row>
    <row r="4" spans="1:9" ht="31.5" x14ac:dyDescent="0.25">
      <c r="A4" s="41">
        <v>208</v>
      </c>
      <c r="B4" s="4" t="s">
        <v>195</v>
      </c>
      <c r="C4" s="46">
        <v>150</v>
      </c>
      <c r="D4" s="41">
        <v>241</v>
      </c>
      <c r="E4" s="25" t="s">
        <v>209</v>
      </c>
      <c r="F4" s="46">
        <v>140</v>
      </c>
      <c r="G4" s="41">
        <v>136</v>
      </c>
      <c r="H4" s="23" t="s">
        <v>168</v>
      </c>
      <c r="I4" s="52">
        <v>100</v>
      </c>
    </row>
    <row r="5" spans="1:9" ht="15.75" x14ac:dyDescent="0.25">
      <c r="A5" s="41">
        <v>300</v>
      </c>
      <c r="B5" s="23" t="s">
        <v>26</v>
      </c>
      <c r="C5" s="51">
        <v>200</v>
      </c>
      <c r="D5" s="41" t="s">
        <v>36</v>
      </c>
      <c r="E5" s="30" t="s">
        <v>33</v>
      </c>
      <c r="F5" s="52">
        <v>60</v>
      </c>
      <c r="G5" s="41">
        <v>227</v>
      </c>
      <c r="H5" s="29" t="s">
        <v>34</v>
      </c>
      <c r="I5" s="57">
        <v>150</v>
      </c>
    </row>
    <row r="6" spans="1:9" ht="15.75" x14ac:dyDescent="0.25">
      <c r="A6" s="41" t="s">
        <v>36</v>
      </c>
      <c r="B6" s="13" t="s">
        <v>161</v>
      </c>
      <c r="C6" s="46">
        <v>100</v>
      </c>
      <c r="D6" s="41">
        <v>300</v>
      </c>
      <c r="E6" s="23" t="s">
        <v>26</v>
      </c>
      <c r="F6" s="51">
        <v>200</v>
      </c>
      <c r="G6" s="41">
        <v>300</v>
      </c>
      <c r="H6" s="23" t="s">
        <v>26</v>
      </c>
      <c r="I6" s="51">
        <v>200</v>
      </c>
    </row>
    <row r="7" spans="1:9" ht="15.75" x14ac:dyDescent="0.25">
      <c r="A7" s="44" t="s">
        <v>37</v>
      </c>
      <c r="B7" s="4" t="s">
        <v>0</v>
      </c>
      <c r="C7" s="46">
        <v>50</v>
      </c>
      <c r="D7" s="41">
        <v>289</v>
      </c>
      <c r="E7" s="13" t="s">
        <v>137</v>
      </c>
      <c r="F7" s="46">
        <v>100</v>
      </c>
      <c r="G7" s="41">
        <v>289</v>
      </c>
      <c r="H7" s="13" t="s">
        <v>137</v>
      </c>
      <c r="I7" s="46">
        <v>50</v>
      </c>
    </row>
    <row r="8" spans="1:9" ht="15.75" x14ac:dyDescent="0.25">
      <c r="A8" s="41"/>
      <c r="B8" s="9" t="s">
        <v>20</v>
      </c>
      <c r="C8" s="45">
        <f t="shared" ref="C8" si="0">SUM(C4:C7)</f>
        <v>500</v>
      </c>
      <c r="D8" s="43"/>
      <c r="E8" s="9" t="s">
        <v>20</v>
      </c>
      <c r="F8" s="45">
        <f t="shared" ref="F8" si="1">SUM(F4:F7)</f>
        <v>500</v>
      </c>
      <c r="G8" s="315"/>
      <c r="H8" s="9" t="s">
        <v>20</v>
      </c>
      <c r="I8" s="45">
        <f t="shared" ref="I8" si="2">SUM(I4:I7)</f>
        <v>500</v>
      </c>
    </row>
    <row r="9" spans="1:9" ht="15.75" x14ac:dyDescent="0.2">
      <c r="A9" s="333" t="s">
        <v>11</v>
      </c>
      <c r="B9" s="334"/>
      <c r="C9" s="318"/>
      <c r="D9" s="334" t="s">
        <v>11</v>
      </c>
      <c r="E9" s="334"/>
      <c r="F9" s="318"/>
      <c r="G9" s="333" t="s">
        <v>11</v>
      </c>
      <c r="H9" s="334"/>
      <c r="I9" s="49"/>
    </row>
    <row r="10" spans="1:9" ht="31.5" x14ac:dyDescent="0.25">
      <c r="A10" s="41">
        <v>55</v>
      </c>
      <c r="B10" s="18" t="s">
        <v>216</v>
      </c>
      <c r="C10" s="58">
        <v>230</v>
      </c>
      <c r="D10" s="100">
        <v>56</v>
      </c>
      <c r="E10" s="1" t="s">
        <v>169</v>
      </c>
      <c r="F10" s="58">
        <v>220</v>
      </c>
      <c r="G10" s="320">
        <v>55</v>
      </c>
      <c r="H10" s="177" t="s">
        <v>155</v>
      </c>
      <c r="I10" s="178">
        <v>230</v>
      </c>
    </row>
    <row r="11" spans="1:9" ht="31.5" x14ac:dyDescent="0.25">
      <c r="A11" s="41">
        <v>96</v>
      </c>
      <c r="B11" s="1" t="s">
        <v>203</v>
      </c>
      <c r="C11" s="51">
        <v>90</v>
      </c>
      <c r="D11" s="41">
        <v>107</v>
      </c>
      <c r="E11" s="23" t="s">
        <v>81</v>
      </c>
      <c r="F11" s="52">
        <v>100</v>
      </c>
      <c r="G11" s="41">
        <v>96</v>
      </c>
      <c r="H11" s="1" t="s">
        <v>212</v>
      </c>
      <c r="I11" s="321">
        <v>90</v>
      </c>
    </row>
    <row r="12" spans="1:9" ht="15.75" x14ac:dyDescent="0.25">
      <c r="A12" s="41">
        <v>227</v>
      </c>
      <c r="B12" s="29" t="s">
        <v>132</v>
      </c>
      <c r="C12" s="57">
        <v>150</v>
      </c>
      <c r="D12" s="59">
        <v>227</v>
      </c>
      <c r="E12" s="1" t="s">
        <v>58</v>
      </c>
      <c r="F12" s="52">
        <v>150</v>
      </c>
      <c r="G12" s="147" t="s">
        <v>170</v>
      </c>
      <c r="H12" s="4" t="s">
        <v>171</v>
      </c>
      <c r="I12" s="321">
        <v>150</v>
      </c>
    </row>
    <row r="13" spans="1:9" ht="15.75" x14ac:dyDescent="0.25">
      <c r="A13" s="41">
        <v>300</v>
      </c>
      <c r="B13" s="176" t="s">
        <v>192</v>
      </c>
      <c r="C13" s="51">
        <v>200</v>
      </c>
      <c r="D13" s="41">
        <v>311</v>
      </c>
      <c r="E13" s="12" t="s">
        <v>25</v>
      </c>
      <c r="F13" s="27">
        <v>200</v>
      </c>
      <c r="G13" s="59">
        <v>300</v>
      </c>
      <c r="H13" s="176" t="s">
        <v>29</v>
      </c>
      <c r="I13" s="46">
        <v>200</v>
      </c>
    </row>
    <row r="14" spans="1:9" ht="15.75" x14ac:dyDescent="0.25">
      <c r="A14" s="44" t="s">
        <v>38</v>
      </c>
      <c r="B14" s="4" t="s">
        <v>5</v>
      </c>
      <c r="C14" s="46">
        <v>30</v>
      </c>
      <c r="D14" s="44" t="s">
        <v>38</v>
      </c>
      <c r="E14" s="4" t="s">
        <v>5</v>
      </c>
      <c r="F14" s="46">
        <v>30</v>
      </c>
      <c r="G14" s="44" t="s">
        <v>38</v>
      </c>
      <c r="H14" s="4" t="s">
        <v>5</v>
      </c>
      <c r="I14" s="46">
        <v>30</v>
      </c>
    </row>
    <row r="15" spans="1:9" ht="15.75" x14ac:dyDescent="0.25">
      <c r="A15" s="43"/>
      <c r="B15" s="9" t="s">
        <v>20</v>
      </c>
      <c r="C15" s="45">
        <f t="shared" ref="C15" si="3">SUM(C10:C14)</f>
        <v>700</v>
      </c>
      <c r="D15" s="43"/>
      <c r="E15" s="9" t="s">
        <v>20</v>
      </c>
      <c r="F15" s="45">
        <f t="shared" ref="F15" si="4">SUM(F10:F14)</f>
        <v>700</v>
      </c>
      <c r="G15" s="43"/>
      <c r="H15" s="9" t="s">
        <v>20</v>
      </c>
      <c r="I15" s="45">
        <f t="shared" ref="I15" si="5">SUM(I10:I14)</f>
        <v>700</v>
      </c>
    </row>
    <row r="17" spans="1:6" ht="15.75" x14ac:dyDescent="0.2">
      <c r="A17" s="333" t="s">
        <v>51</v>
      </c>
      <c r="B17" s="334"/>
      <c r="C17" s="318"/>
      <c r="D17" s="331" t="s">
        <v>52</v>
      </c>
      <c r="E17" s="332"/>
      <c r="F17" s="317"/>
    </row>
    <row r="18" spans="1:6" ht="15.75" x14ac:dyDescent="0.2">
      <c r="A18" s="333" t="s">
        <v>12</v>
      </c>
      <c r="B18" s="334"/>
      <c r="C18" s="49"/>
      <c r="D18" s="330" t="s">
        <v>12</v>
      </c>
      <c r="E18" s="330"/>
      <c r="F18" s="316"/>
    </row>
    <row r="19" spans="1:6" ht="15.75" x14ac:dyDescent="0.25">
      <c r="A19" s="41">
        <v>258</v>
      </c>
      <c r="B19" s="4" t="s">
        <v>187</v>
      </c>
      <c r="C19" s="46">
        <v>120</v>
      </c>
      <c r="D19" s="59">
        <v>227</v>
      </c>
      <c r="E19" s="1" t="s">
        <v>58</v>
      </c>
      <c r="F19" s="52">
        <v>150</v>
      </c>
    </row>
    <row r="20" spans="1:6" ht="15.75" x14ac:dyDescent="0.25">
      <c r="A20" s="41"/>
      <c r="B20" s="4" t="s">
        <v>120</v>
      </c>
      <c r="C20" s="46">
        <v>50</v>
      </c>
      <c r="D20" s="41">
        <v>136</v>
      </c>
      <c r="E20" s="4" t="s">
        <v>90</v>
      </c>
      <c r="F20" s="46">
        <v>90</v>
      </c>
    </row>
    <row r="21" spans="1:6" ht="15.75" x14ac:dyDescent="0.25">
      <c r="A21" s="41">
        <v>300</v>
      </c>
      <c r="B21" s="23" t="s">
        <v>26</v>
      </c>
      <c r="C21" s="51">
        <v>200</v>
      </c>
      <c r="D21" s="41">
        <v>300</v>
      </c>
      <c r="E21" s="23" t="s">
        <v>26</v>
      </c>
      <c r="F21" s="51">
        <v>200</v>
      </c>
    </row>
    <row r="22" spans="1:6" ht="15.75" x14ac:dyDescent="0.25">
      <c r="A22" s="41" t="s">
        <v>36</v>
      </c>
      <c r="B22" s="4" t="s">
        <v>33</v>
      </c>
      <c r="C22" s="52">
        <v>80</v>
      </c>
      <c r="D22" s="41">
        <v>289</v>
      </c>
      <c r="E22" s="13" t="s">
        <v>211</v>
      </c>
      <c r="F22" s="52">
        <v>60</v>
      </c>
    </row>
    <row r="23" spans="1:6" ht="15.75" x14ac:dyDescent="0.25">
      <c r="A23" s="41" t="s">
        <v>36</v>
      </c>
      <c r="B23" s="13" t="s">
        <v>159</v>
      </c>
      <c r="C23" s="52">
        <v>50</v>
      </c>
      <c r="D23" s="315"/>
      <c r="E23" s="9" t="s">
        <v>20</v>
      </c>
      <c r="F23" s="45">
        <f t="shared" ref="F23" si="6">SUM(F19:F22)</f>
        <v>500</v>
      </c>
    </row>
    <row r="24" spans="1:6" ht="15.75" x14ac:dyDescent="0.25">
      <c r="A24" s="43"/>
      <c r="B24" s="9" t="s">
        <v>20</v>
      </c>
      <c r="C24" s="45">
        <f t="shared" ref="C24" si="7">SUM(C19:C23)</f>
        <v>500</v>
      </c>
      <c r="D24" s="325"/>
      <c r="E24" s="88"/>
      <c r="F24" s="324"/>
    </row>
    <row r="25" spans="1:6" ht="15.75" x14ac:dyDescent="0.2">
      <c r="A25" s="330" t="s">
        <v>11</v>
      </c>
      <c r="B25" s="330"/>
      <c r="C25" s="316"/>
      <c r="D25" s="333" t="s">
        <v>11</v>
      </c>
      <c r="E25" s="334"/>
      <c r="F25" s="49"/>
    </row>
    <row r="26" spans="1:6" ht="31.5" x14ac:dyDescent="0.25">
      <c r="A26" s="70" t="s">
        <v>57</v>
      </c>
      <c r="B26" s="1" t="s">
        <v>215</v>
      </c>
      <c r="C26" s="67">
        <v>200</v>
      </c>
      <c r="D26" s="41">
        <v>55</v>
      </c>
      <c r="E26" s="18" t="s">
        <v>191</v>
      </c>
      <c r="F26" s="58">
        <v>230</v>
      </c>
    </row>
    <row r="27" spans="1:6" ht="31.5" x14ac:dyDescent="0.25">
      <c r="A27" s="41">
        <v>110</v>
      </c>
      <c r="B27" s="60" t="s">
        <v>173</v>
      </c>
      <c r="C27" s="51">
        <v>90</v>
      </c>
      <c r="D27" s="41">
        <v>259</v>
      </c>
      <c r="E27" s="23" t="s">
        <v>164</v>
      </c>
      <c r="F27" s="51">
        <v>220</v>
      </c>
    </row>
    <row r="28" spans="1:6" ht="15.75" x14ac:dyDescent="0.25">
      <c r="A28" s="59">
        <v>146</v>
      </c>
      <c r="B28" s="18" t="s">
        <v>174</v>
      </c>
      <c r="C28" s="52">
        <v>150</v>
      </c>
      <c r="D28" s="41">
        <v>300</v>
      </c>
      <c r="E28" s="23" t="s">
        <v>26</v>
      </c>
      <c r="F28" s="51">
        <v>200</v>
      </c>
    </row>
    <row r="29" spans="1:6" ht="15.75" x14ac:dyDescent="0.25">
      <c r="A29" s="41">
        <v>300</v>
      </c>
      <c r="B29" s="23" t="s">
        <v>26</v>
      </c>
      <c r="C29" s="51">
        <v>200</v>
      </c>
      <c r="D29" s="44" t="s">
        <v>38</v>
      </c>
      <c r="E29" s="4" t="s">
        <v>5</v>
      </c>
      <c r="F29" s="56">
        <v>30</v>
      </c>
    </row>
    <row r="30" spans="1:6" ht="15.75" x14ac:dyDescent="0.25">
      <c r="A30" s="44" t="s">
        <v>38</v>
      </c>
      <c r="B30" s="4" t="s">
        <v>5</v>
      </c>
      <c r="C30" s="46">
        <v>60</v>
      </c>
      <c r="D30" s="43"/>
      <c r="E30" s="9" t="s">
        <v>20</v>
      </c>
      <c r="F30" s="45">
        <v>700</v>
      </c>
    </row>
    <row r="31" spans="1:6" ht="15.75" x14ac:dyDescent="0.25">
      <c r="A31" s="41"/>
      <c r="B31" s="9" t="s">
        <v>20</v>
      </c>
      <c r="C31" s="45">
        <f t="shared" ref="C31" si="8">SUM(C26:C30)</f>
        <v>700</v>
      </c>
    </row>
  </sheetData>
  <mergeCells count="15">
    <mergeCell ref="A25:B25"/>
    <mergeCell ref="D17:E17"/>
    <mergeCell ref="D18:E18"/>
    <mergeCell ref="D25:E25"/>
    <mergeCell ref="A2:B2"/>
    <mergeCell ref="A3:B3"/>
    <mergeCell ref="A9:B9"/>
    <mergeCell ref="D2:E2"/>
    <mergeCell ref="D3:E3"/>
    <mergeCell ref="D9:E9"/>
    <mergeCell ref="G2:H2"/>
    <mergeCell ref="G3:H3"/>
    <mergeCell ref="G9:H9"/>
    <mergeCell ref="A17:B17"/>
    <mergeCell ref="A18:B18"/>
  </mergeCells>
  <pageMargins left="0.25" right="0.25" top="0.75" bottom="0.75" header="0.3" footer="0.3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151</vt:lpstr>
      <vt:lpstr>1 НЕДЕЛЯ</vt:lpstr>
      <vt:lpstr>2 НЕДЕЛЯ</vt:lpstr>
      <vt:lpstr>142 руб</vt:lpstr>
      <vt:lpstr>Лист1</vt:lpstr>
      <vt:lpstr>анализ</vt:lpstr>
      <vt:lpstr>176</vt:lpstr>
      <vt:lpstr>Лист4</vt:lpstr>
      <vt:lpstr>Лист5</vt:lpstr>
      <vt:lpstr>Лист2</vt:lpstr>
      <vt:lpstr>Лист3</vt:lpstr>
      <vt:lpstr>'142 руб'!Заголовки_для_печати</vt:lpstr>
      <vt:lpstr>'151'!Заголовки_для_печати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HP</cp:lastModifiedBy>
  <cp:lastPrinted>2025-05-15T13:06:23Z</cp:lastPrinted>
  <dcterms:created xsi:type="dcterms:W3CDTF">2017-07-26T06:10:42Z</dcterms:created>
  <dcterms:modified xsi:type="dcterms:W3CDTF">2025-05-27T01:09:57Z</dcterms:modified>
</cp:coreProperties>
</file>